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730" windowHeight="10545"/>
  </bookViews>
  <sheets>
    <sheet name="Waybills" sheetId="10" r:id="rId1"/>
    <sheet name="Data" sheetId="17" r:id="rId2"/>
    <sheet name="BlockCodes" sheetId="18" r:id="rId3"/>
    <sheet name="Waybill Pulls" sheetId="20" r:id="rId4"/>
  </sheets>
  <calcPr calcId="125725"/>
</workbook>
</file>

<file path=xl/calcChain.xml><?xml version="1.0" encoding="utf-8"?>
<calcChain xmlns="http://schemas.openxmlformats.org/spreadsheetml/2006/main">
  <c r="E65" i="20"/>
  <c r="F65" s="1"/>
  <c r="G65" s="1"/>
  <c r="H65" s="1"/>
  <c r="E86"/>
  <c r="F86" s="1"/>
  <c r="G86" s="1"/>
  <c r="H86" s="1"/>
  <c r="E79"/>
  <c r="F79" s="1"/>
  <c r="G79" s="1"/>
  <c r="H79" s="1"/>
  <c r="E56"/>
  <c r="F56" s="1"/>
  <c r="G56" s="1"/>
  <c r="H56" s="1"/>
  <c r="E57"/>
  <c r="F57" s="1"/>
  <c r="G57" s="1"/>
  <c r="H57" s="1"/>
  <c r="E93"/>
  <c r="F93" s="1"/>
  <c r="G93" s="1"/>
  <c r="H93" s="1"/>
  <c r="E85"/>
  <c r="F85" s="1"/>
  <c r="G85" s="1"/>
  <c r="H85" s="1"/>
  <c r="E88"/>
  <c r="F88" s="1"/>
  <c r="G88" s="1"/>
  <c r="H88" s="1"/>
  <c r="E84"/>
  <c r="F84" s="1"/>
  <c r="G84" s="1"/>
  <c r="H84" s="1"/>
  <c r="E53"/>
  <c r="F53" s="1"/>
  <c r="G53" s="1"/>
  <c r="H53" s="1"/>
  <c r="E54"/>
  <c r="F54" s="1"/>
  <c r="G54" s="1"/>
  <c r="H54" s="1"/>
  <c r="E55"/>
  <c r="F55" s="1"/>
  <c r="G55" s="1"/>
  <c r="H55" s="1"/>
  <c r="E35"/>
  <c r="F35" s="1"/>
  <c r="G35" s="1"/>
  <c r="H35" s="1"/>
  <c r="E36"/>
  <c r="F36" s="1"/>
  <c r="G36" s="1"/>
  <c r="H36" s="1"/>
  <c r="E37"/>
  <c r="F37" s="1"/>
  <c r="G37" s="1"/>
  <c r="H37" s="1"/>
  <c r="E38"/>
  <c r="F38" s="1"/>
  <c r="G38" s="1"/>
  <c r="H38" s="1"/>
  <c r="E39"/>
  <c r="F39" s="1"/>
  <c r="G39" s="1"/>
  <c r="H39" s="1"/>
  <c r="E40"/>
  <c r="F40" s="1"/>
  <c r="G40" s="1"/>
  <c r="H40" s="1"/>
  <c r="E41"/>
  <c r="F41" s="1"/>
  <c r="G41" s="1"/>
  <c r="H41" s="1"/>
  <c r="E42"/>
  <c r="F42" s="1"/>
  <c r="G42" s="1"/>
  <c r="H42" s="1"/>
  <c r="E43"/>
  <c r="F43" s="1"/>
  <c r="G43" s="1"/>
  <c r="H43" s="1"/>
  <c r="E49"/>
  <c r="F49" s="1"/>
  <c r="G49" s="1"/>
  <c r="H49" s="1"/>
  <c r="E61"/>
  <c r="F61" s="1"/>
  <c r="G61" s="1"/>
  <c r="H61" s="1"/>
  <c r="E62"/>
  <c r="F62" s="1"/>
  <c r="G62" s="1"/>
  <c r="H62" s="1"/>
  <c r="E63"/>
  <c r="F63" s="1"/>
  <c r="G63" s="1"/>
  <c r="H63" s="1"/>
  <c r="E64"/>
  <c r="F64" s="1"/>
  <c r="G64" s="1"/>
  <c r="H64" s="1"/>
  <c r="E66"/>
  <c r="F66" s="1"/>
  <c r="G66" s="1"/>
  <c r="H66" s="1"/>
  <c r="E67"/>
  <c r="F67" s="1"/>
  <c r="G67" s="1"/>
  <c r="H67" s="1"/>
  <c r="E68"/>
  <c r="F68" s="1"/>
  <c r="G68" s="1"/>
  <c r="H68" s="1"/>
  <c r="E69"/>
  <c r="F69" s="1"/>
  <c r="G69" s="1"/>
  <c r="H69" s="1"/>
  <c r="E70"/>
  <c r="F70" s="1"/>
  <c r="G70" s="1"/>
  <c r="H70" s="1"/>
  <c r="E71"/>
  <c r="F71" s="1"/>
  <c r="G71" s="1"/>
  <c r="H71" s="1"/>
  <c r="E72"/>
  <c r="F72" s="1"/>
  <c r="G72" s="1"/>
  <c r="H72" s="1"/>
  <c r="E73"/>
  <c r="F73" s="1"/>
  <c r="G73" s="1"/>
  <c r="H73" s="1"/>
  <c r="E74"/>
  <c r="F74" s="1"/>
  <c r="G74" s="1"/>
  <c r="H74" s="1"/>
  <c r="E75"/>
  <c r="F75" s="1"/>
  <c r="G75" s="1"/>
  <c r="H75" s="1"/>
  <c r="E76"/>
  <c r="F76" s="1"/>
  <c r="G76" s="1"/>
  <c r="H76" s="1"/>
  <c r="E77"/>
  <c r="F77" s="1"/>
  <c r="G77" s="1"/>
  <c r="H77" s="1"/>
  <c r="E78"/>
  <c r="F78" s="1"/>
  <c r="G78" s="1"/>
  <c r="H78" s="1"/>
  <c r="E26"/>
  <c r="F26" s="1"/>
  <c r="E83"/>
  <c r="F83" s="1"/>
  <c r="E87"/>
  <c r="F87" s="1"/>
  <c r="E89"/>
  <c r="F89" s="1"/>
  <c r="E16"/>
  <c r="F16" s="1"/>
  <c r="E27"/>
  <c r="F27" s="1"/>
  <c r="E21"/>
  <c r="F21" s="1"/>
  <c r="AC16" i="10"/>
  <c r="A2"/>
  <c r="E48" i="20"/>
  <c r="F48" s="1"/>
  <c r="E47"/>
  <c r="F47" s="1"/>
  <c r="E31"/>
  <c r="F31" s="1"/>
  <c r="E25"/>
  <c r="F25" s="1"/>
  <c r="E24"/>
  <c r="F24" s="1"/>
  <c r="E23"/>
  <c r="F23" s="1"/>
  <c r="E22"/>
  <c r="F22" s="1"/>
  <c r="E20"/>
  <c r="F20" s="1"/>
  <c r="E15"/>
  <c r="F15" s="1"/>
  <c r="E14"/>
  <c r="F14" s="1"/>
  <c r="E13"/>
  <c r="F13" s="1"/>
  <c r="E12"/>
  <c r="F12" s="1"/>
  <c r="E6"/>
  <c r="F6" s="1"/>
  <c r="E5"/>
  <c r="F5" s="1"/>
  <c r="AR22" i="10"/>
  <c r="AR17"/>
  <c r="AR12"/>
  <c r="AR7"/>
  <c r="AR2"/>
  <c r="V22"/>
  <c r="V17"/>
  <c r="V12"/>
  <c r="V7"/>
  <c r="AP22"/>
  <c r="AP17"/>
  <c r="AP12"/>
  <c r="AP7"/>
  <c r="AP2"/>
  <c r="T22"/>
  <c r="T17"/>
  <c r="T12"/>
  <c r="T7"/>
  <c r="AO22"/>
  <c r="AO17"/>
  <c r="AO12"/>
  <c r="AO7"/>
  <c r="AO2"/>
  <c r="S22"/>
  <c r="S17"/>
  <c r="S12"/>
  <c r="S7"/>
  <c r="AN22"/>
  <c r="AN17"/>
  <c r="AN12"/>
  <c r="AN7"/>
  <c r="AN2"/>
  <c r="R22"/>
  <c r="R17"/>
  <c r="R12"/>
  <c r="R7"/>
  <c r="AM22"/>
  <c r="AM17"/>
  <c r="AM12"/>
  <c r="AM7"/>
  <c r="AM2"/>
  <c r="Q22"/>
  <c r="Q17"/>
  <c r="Q12"/>
  <c r="Q7"/>
  <c r="AL22"/>
  <c r="AL17"/>
  <c r="AL12"/>
  <c r="AL7"/>
  <c r="AL2"/>
  <c r="P22"/>
  <c r="P17"/>
  <c r="P12"/>
  <c r="P7"/>
  <c r="AK22"/>
  <c r="AK17"/>
  <c r="AK12"/>
  <c r="AK7"/>
  <c r="AK2"/>
  <c r="O22"/>
  <c r="O17"/>
  <c r="O12"/>
  <c r="O7"/>
  <c r="AI21"/>
  <c r="AI16"/>
  <c r="AI11"/>
  <c r="AI6"/>
  <c r="AI1"/>
  <c r="M21"/>
  <c r="M16"/>
  <c r="M11"/>
  <c r="M6"/>
  <c r="AH21"/>
  <c r="AH16"/>
  <c r="AH11"/>
  <c r="AH6"/>
  <c r="AH1"/>
  <c r="L21"/>
  <c r="L16"/>
  <c r="L11"/>
  <c r="L6"/>
  <c r="AG21"/>
  <c r="AG16"/>
  <c r="AG11"/>
  <c r="AG6"/>
  <c r="AG1"/>
  <c r="K21"/>
  <c r="K16"/>
  <c r="K11"/>
  <c r="K6"/>
  <c r="AF21"/>
  <c r="AF16"/>
  <c r="AF11"/>
  <c r="AF6"/>
  <c r="AF1"/>
  <c r="J21"/>
  <c r="J16"/>
  <c r="J11"/>
  <c r="J6"/>
  <c r="AD21"/>
  <c r="AD16"/>
  <c r="AD11"/>
  <c r="AD6"/>
  <c r="AD1"/>
  <c r="H21"/>
  <c r="H16"/>
  <c r="H11"/>
  <c r="H6"/>
  <c r="AC21"/>
  <c r="AC11"/>
  <c r="AC6"/>
  <c r="AC1"/>
  <c r="G21"/>
  <c r="G16"/>
  <c r="G11"/>
  <c r="G6"/>
  <c r="G1"/>
  <c r="AB21"/>
  <c r="AB16"/>
  <c r="AB11"/>
  <c r="AB6"/>
  <c r="AB1"/>
  <c r="F21"/>
  <c r="F16"/>
  <c r="F11"/>
  <c r="F6"/>
  <c r="AA21"/>
  <c r="AA16"/>
  <c r="AA11"/>
  <c r="AA6"/>
  <c r="AA1"/>
  <c r="E21"/>
  <c r="E16"/>
  <c r="E11"/>
  <c r="E6"/>
  <c r="Z21"/>
  <c r="Z16"/>
  <c r="Z11"/>
  <c r="Z6"/>
  <c r="Z1"/>
  <c r="D21"/>
  <c r="D16"/>
  <c r="D11"/>
  <c r="D6"/>
  <c r="D1"/>
  <c r="Y21"/>
  <c r="Y16"/>
  <c r="Y11"/>
  <c r="Y6"/>
  <c r="Y1"/>
  <c r="C21"/>
  <c r="C16"/>
  <c r="C11"/>
  <c r="C6"/>
  <c r="C1"/>
  <c r="AR21"/>
  <c r="AR16"/>
  <c r="AR11"/>
  <c r="AR6"/>
  <c r="AR1"/>
  <c r="V21"/>
  <c r="V16"/>
  <c r="V11"/>
  <c r="V6"/>
  <c r="V1"/>
  <c r="W25"/>
  <c r="W22"/>
  <c r="W20"/>
  <c r="W17"/>
  <c r="W15"/>
  <c r="W12"/>
  <c r="W10"/>
  <c r="W7"/>
  <c r="W5"/>
  <c r="W2"/>
  <c r="A25"/>
  <c r="A22"/>
  <c r="A20"/>
  <c r="A17"/>
  <c r="A15"/>
  <c r="A12"/>
  <c r="A10"/>
  <c r="A7"/>
  <c r="A5"/>
  <c r="V2"/>
  <c r="T2"/>
  <c r="S2"/>
  <c r="R2"/>
  <c r="Q2"/>
  <c r="P2"/>
  <c r="O2"/>
  <c r="M1"/>
  <c r="L1"/>
  <c r="K1"/>
  <c r="J1"/>
  <c r="H1"/>
  <c r="F1"/>
  <c r="E1"/>
  <c r="G24" i="20" l="1"/>
  <c r="H24" s="1"/>
  <c r="G23"/>
  <c r="H23" s="1"/>
  <c r="G89"/>
  <c r="H89" s="1"/>
  <c r="G15"/>
  <c r="H15" s="1"/>
  <c r="G16"/>
  <c r="H16" s="1"/>
  <c r="G87"/>
  <c r="H87" s="1"/>
  <c r="G31"/>
  <c r="H31" s="1"/>
  <c r="G83"/>
  <c r="H83" s="1"/>
  <c r="G48"/>
  <c r="H48" s="1"/>
  <c r="G26"/>
  <c r="H26" s="1"/>
  <c r="G22"/>
  <c r="H22" s="1"/>
  <c r="G14"/>
  <c r="H14" s="1"/>
  <c r="G6"/>
  <c r="H6" s="1"/>
  <c r="G27"/>
  <c r="H27" s="1"/>
  <c r="G20"/>
  <c r="H20" s="1"/>
  <c r="G12"/>
  <c r="H12" s="1"/>
  <c r="G5"/>
  <c r="H5" s="1"/>
  <c r="G47"/>
  <c r="H47" s="1"/>
  <c r="G25"/>
  <c r="H25" s="1"/>
  <c r="G21"/>
  <c r="H21" s="1"/>
  <c r="G13"/>
  <c r="H13" s="1"/>
  <c r="F8"/>
  <c r="F7"/>
  <c r="G8" l="1"/>
  <c r="H8" s="1"/>
  <c r="G7"/>
  <c r="H7" s="1"/>
  <c r="H97" l="1"/>
</calcChain>
</file>

<file path=xl/sharedStrings.xml><?xml version="1.0" encoding="utf-8"?>
<sst xmlns="http://schemas.openxmlformats.org/spreadsheetml/2006/main" count="4501" uniqueCount="1027">
  <si>
    <t>To:</t>
  </si>
  <si>
    <t>From:</t>
  </si>
  <si>
    <t>Lading:</t>
  </si>
  <si>
    <t>Route:</t>
  </si>
  <si>
    <t>MOSHER</t>
  </si>
  <si>
    <t>FB</t>
  </si>
  <si>
    <t>MEAD</t>
  </si>
  <si>
    <t>SAULT</t>
  </si>
  <si>
    <t>Newaygo Forest Products</t>
  </si>
  <si>
    <t>Empty Car</t>
  </si>
  <si>
    <t>Remove waybill when complete</t>
  </si>
  <si>
    <t>Mancelona, MI</t>
  </si>
  <si>
    <t>Lumber</t>
  </si>
  <si>
    <t>Pulpwood</t>
  </si>
  <si>
    <t>Newaygo FP - S Spur</t>
  </si>
  <si>
    <t>GTS</t>
  </si>
  <si>
    <t>Woodchips</t>
  </si>
  <si>
    <t>Appleton Papers</t>
  </si>
  <si>
    <t>AC-SOO</t>
  </si>
  <si>
    <t>TREMBLEY</t>
  </si>
  <si>
    <t>St. Marys Paper</t>
  </si>
  <si>
    <t>Sault Ste. Marie, ON</t>
  </si>
  <si>
    <t>LIMER</t>
  </si>
  <si>
    <t>Lecours Lumber</t>
  </si>
  <si>
    <t>Calstock, ON</t>
  </si>
  <si>
    <t>CN (Hearst)-AC-SOO</t>
  </si>
  <si>
    <t>Hearst, ON</t>
  </si>
  <si>
    <t>SOO-AC-CN (Hearst)</t>
  </si>
  <si>
    <t>HEARST</t>
  </si>
  <si>
    <t>OBA</t>
  </si>
  <si>
    <t>CN (Hearst)-AC-CN (Oba)</t>
  </si>
  <si>
    <t>CN (Oba)-AC-CN (Hearst)</t>
  </si>
  <si>
    <t>MICHIPICOTEN</t>
  </si>
  <si>
    <t>Coal Dock</t>
  </si>
  <si>
    <t>WAWA</t>
  </si>
  <si>
    <t>Algoma Ore Properties</t>
  </si>
  <si>
    <t>Wawa, ON</t>
  </si>
  <si>
    <t>Limestone</t>
  </si>
  <si>
    <t>HT</t>
  </si>
  <si>
    <t>Coke</t>
  </si>
  <si>
    <t>Sinter</t>
  </si>
  <si>
    <t>Algoma Steel</t>
  </si>
  <si>
    <t>FRANZ</t>
  </si>
  <si>
    <t>Winnipeg, MB</t>
  </si>
  <si>
    <t>XP</t>
  </si>
  <si>
    <t>Agent ONR</t>
  </si>
  <si>
    <t>Spruce Falls Power &amp; Paper</t>
  </si>
  <si>
    <t>Kapuskasing, ON</t>
  </si>
  <si>
    <t>Agent CN</t>
  </si>
  <si>
    <t>CN (Oba)-AC</t>
  </si>
  <si>
    <t>AC-CN (Oba)</t>
  </si>
  <si>
    <t>Team Track</t>
  </si>
  <si>
    <t>GB</t>
  </si>
  <si>
    <t>SEARCHMONT</t>
  </si>
  <si>
    <t>United Sawmills</t>
  </si>
  <si>
    <t>XM</t>
  </si>
  <si>
    <t>CP (Franz)-AC</t>
  </si>
  <si>
    <t>AC-CP (Franz)</t>
  </si>
  <si>
    <t>James River Pulp &amp; Paper</t>
  </si>
  <si>
    <t>Marathon, ON</t>
  </si>
  <si>
    <t>Woodpulp</t>
  </si>
  <si>
    <t>Agent CP</t>
  </si>
  <si>
    <t>Schreiber, ON</t>
  </si>
  <si>
    <t>Terrace Bay, ON</t>
  </si>
  <si>
    <t>LP</t>
  </si>
  <si>
    <t>CP (Franz)-AC-CN (Hearst)</t>
  </si>
  <si>
    <t>CN (Hearst)-AC-CP (Franz)</t>
  </si>
  <si>
    <t>SOO-AC-CP (Franz)</t>
  </si>
  <si>
    <t>CP (Franz)-AC-SOO</t>
  </si>
  <si>
    <t>Gulf Oil Co.</t>
  </si>
  <si>
    <t>Wildcat, AB</t>
  </si>
  <si>
    <t>Molten Sulphur</t>
  </si>
  <si>
    <t>TM</t>
  </si>
  <si>
    <t>TA</t>
  </si>
  <si>
    <t>Empty Car (Sulphuric Acid)</t>
  </si>
  <si>
    <t>Empty Car (Sulphur)</t>
  </si>
  <si>
    <t>Gasoline</t>
  </si>
  <si>
    <t>Empty Car (Gasoline)</t>
  </si>
  <si>
    <t>HAZARDOUS - FLAMMABLE</t>
  </si>
  <si>
    <t>HAZARDOUS - CORROSIVE</t>
  </si>
  <si>
    <t>Noranda Mines</t>
  </si>
  <si>
    <t>Rouyn-Noranda, QC</t>
  </si>
  <si>
    <t>HAWK JCT</t>
  </si>
  <si>
    <t>Diesel Fuel</t>
  </si>
  <si>
    <t>Fuel Track</t>
  </si>
  <si>
    <t>Empty Car (Diesel Fuel)</t>
  </si>
  <si>
    <t>GBSR</t>
  </si>
  <si>
    <t>Steel Coils</t>
  </si>
  <si>
    <t>Steel Pipe</t>
  </si>
  <si>
    <t>Steel Plate</t>
  </si>
  <si>
    <t>Steel Beams</t>
  </si>
  <si>
    <t>Calgary, AB</t>
  </si>
  <si>
    <t>Vancouver, BC</t>
  </si>
  <si>
    <t>Munising, MI</t>
  </si>
  <si>
    <t>Consolidated Paper</t>
  </si>
  <si>
    <t>Kimberly, WI</t>
  </si>
  <si>
    <t>Mead Paper</t>
  </si>
  <si>
    <t>Menasha, WI</t>
  </si>
  <si>
    <t>Canadian Propane</t>
  </si>
  <si>
    <t>Propane</t>
  </si>
  <si>
    <t>Empty Car (Propane)</t>
  </si>
  <si>
    <t>HAZARDOUS - FLAMMABLE GAS</t>
  </si>
  <si>
    <t>Freight Shed</t>
  </si>
  <si>
    <t>Steelton Yard</t>
  </si>
  <si>
    <t>LCL - Wayfreight</t>
  </si>
  <si>
    <t>Refined Zinc</t>
  </si>
  <si>
    <t>Englehart, ON</t>
  </si>
  <si>
    <t>Refined Copper</t>
  </si>
  <si>
    <t>Superior Propane</t>
  </si>
  <si>
    <t>Imperial Oil</t>
  </si>
  <si>
    <t>Sarnia, ON</t>
  </si>
  <si>
    <t>Dome Petroleum</t>
  </si>
  <si>
    <t>Oakville, ON</t>
  </si>
  <si>
    <t>Appleton, WI</t>
  </si>
  <si>
    <t>DUBREUILVILLE</t>
  </si>
  <si>
    <t>Tie Treatment and Storage</t>
  </si>
  <si>
    <t>Untreated Ties</t>
  </si>
  <si>
    <t>House Track</t>
  </si>
  <si>
    <t>Wyborn (Hearst, ON)</t>
  </si>
  <si>
    <t>Green Bay, WI</t>
  </si>
  <si>
    <t>Dominion Bridge</t>
  </si>
  <si>
    <t>Allied-Signal</t>
  </si>
  <si>
    <t>Danville, IL</t>
  </si>
  <si>
    <t>Depue, IL</t>
  </si>
  <si>
    <t>Fairmont City, IL</t>
  </si>
  <si>
    <t>Occidental Chemical</t>
  </si>
  <si>
    <t>Sauget, IL</t>
  </si>
  <si>
    <t>Belleville, IL</t>
  </si>
  <si>
    <t>Olin Matheson Corp.</t>
  </si>
  <si>
    <t>Alton, IL</t>
  </si>
  <si>
    <t>Rockford, IL</t>
  </si>
  <si>
    <t>Armco Metal</t>
  </si>
  <si>
    <t>Standard Tube</t>
  </si>
  <si>
    <t>Coast Steel Fabricators</t>
  </si>
  <si>
    <t>General Steel Wares</t>
  </si>
  <si>
    <t>Empire Sheet Metal</t>
  </si>
  <si>
    <t>Westeel Products</t>
  </si>
  <si>
    <t>Canadian Bridge</t>
  </si>
  <si>
    <t>Windsor, ON</t>
  </si>
  <si>
    <t>Monarch Lumber</t>
  </si>
  <si>
    <t>North American Lumber</t>
  </si>
  <si>
    <t>Lumber Dealers Supply</t>
  </si>
  <si>
    <t>Simpson Building Products</t>
  </si>
  <si>
    <t>Hudson Bay, SK</t>
  </si>
  <si>
    <t>Bluffs Lumber and Coal</t>
  </si>
  <si>
    <t>Council Bluffs, IA</t>
  </si>
  <si>
    <t>Cash &amp; Carry Lumber</t>
  </si>
  <si>
    <t>Group:</t>
  </si>
  <si>
    <t>Type</t>
  </si>
  <si>
    <t>1-Block</t>
  </si>
  <si>
    <t>1-To Industry</t>
  </si>
  <si>
    <t>1-To Station</t>
  </si>
  <si>
    <t>1-From Industry</t>
  </si>
  <si>
    <t>1-From Station</t>
  </si>
  <si>
    <t>1-Lading</t>
  </si>
  <si>
    <t>1-Route</t>
  </si>
  <si>
    <t>1-Note 1</t>
  </si>
  <si>
    <t>1-Note 2</t>
  </si>
  <si>
    <t>2-Block</t>
  </si>
  <si>
    <t>2-To Industry</t>
  </si>
  <si>
    <t>2-To Station</t>
  </si>
  <si>
    <t>2-From Industry</t>
  </si>
  <si>
    <t>2-From Station</t>
  </si>
  <si>
    <t>2-Lading</t>
  </si>
  <si>
    <t>2-Route</t>
  </si>
  <si>
    <t>2-Note 1</t>
  </si>
  <si>
    <t>2-Note 2</t>
  </si>
  <si>
    <t>Group/ID</t>
  </si>
  <si>
    <t>Ore-1</t>
  </si>
  <si>
    <t>Ore-2</t>
  </si>
  <si>
    <t>Ore-3</t>
  </si>
  <si>
    <t>Ore-4</t>
  </si>
  <si>
    <t>Ore-5</t>
  </si>
  <si>
    <t>Ore-6</t>
  </si>
  <si>
    <t>Ore-7</t>
  </si>
  <si>
    <t>Ore-8</t>
  </si>
  <si>
    <t>Ore-9</t>
  </si>
  <si>
    <t>Ore-10</t>
  </si>
  <si>
    <t>Newaygo-1</t>
  </si>
  <si>
    <t>Newaygo-2</t>
  </si>
  <si>
    <t>Newaygo-3</t>
  </si>
  <si>
    <t>Newaygo-4</t>
  </si>
  <si>
    <t>Newaygo-5</t>
  </si>
  <si>
    <t>Newaygo-6</t>
  </si>
  <si>
    <t>Newaygo-7</t>
  </si>
  <si>
    <t>Newaygo-8</t>
  </si>
  <si>
    <t>Newaygo-9</t>
  </si>
  <si>
    <t>Newaygo-10</t>
  </si>
  <si>
    <t>StMarys-1</t>
  </si>
  <si>
    <t>StMarys-2</t>
  </si>
  <si>
    <t>StMarys-3</t>
  </si>
  <si>
    <t>StMarys-4</t>
  </si>
  <si>
    <t>StMarys-5</t>
  </si>
  <si>
    <t>StMarys-6</t>
  </si>
  <si>
    <t>StMarys-7</t>
  </si>
  <si>
    <t>StMarys-8</t>
  </si>
  <si>
    <t>StMarys-9</t>
  </si>
  <si>
    <t>StMarys-10</t>
  </si>
  <si>
    <t>Iron Ore</t>
  </si>
  <si>
    <t>Michipicoten</t>
  </si>
  <si>
    <t>Wawa</t>
  </si>
  <si>
    <t>Mosher</t>
  </si>
  <si>
    <t>Trembley</t>
  </si>
  <si>
    <t>Mead</t>
  </si>
  <si>
    <t>Kimberly-Clark</t>
  </si>
  <si>
    <t>SteelCP-1</t>
  </si>
  <si>
    <t>SteelCP-2</t>
  </si>
  <si>
    <t>SteelCP-3</t>
  </si>
  <si>
    <t>SteelCP-4</t>
  </si>
  <si>
    <t>SteelCP-5</t>
  </si>
  <si>
    <t>SteelCP-6</t>
  </si>
  <si>
    <t>SteelCP-7</t>
  </si>
  <si>
    <t>SteelCP-8</t>
  </si>
  <si>
    <t>SteelCP-9</t>
  </si>
  <si>
    <t>SteelCP-10</t>
  </si>
  <si>
    <t>SteelCN-1</t>
  </si>
  <si>
    <t>SteelCN-2</t>
  </si>
  <si>
    <t>SteelCN-3</t>
  </si>
  <si>
    <t>SteelCN-4</t>
  </si>
  <si>
    <t>SteelCN-5</t>
  </si>
  <si>
    <t>SteelCN-6</t>
  </si>
  <si>
    <t>SteelCN-7</t>
  </si>
  <si>
    <t>SteelCN-8</t>
  </si>
  <si>
    <t>SteelCN-9</t>
  </si>
  <si>
    <t>SteelCN-10</t>
  </si>
  <si>
    <t>Oba</t>
  </si>
  <si>
    <t>Limer</t>
  </si>
  <si>
    <t>Hawk Junction</t>
  </si>
  <si>
    <t>Searchmont</t>
  </si>
  <si>
    <t>Eton</t>
  </si>
  <si>
    <t>Dubreuil Forest Products</t>
  </si>
  <si>
    <t>Dubreuilville</t>
  </si>
  <si>
    <t>Sulphuric Acid</t>
  </si>
  <si>
    <t>BoxMisc-1</t>
  </si>
  <si>
    <t>BoxMisc-2</t>
  </si>
  <si>
    <t>BoxMisc-3</t>
  </si>
  <si>
    <t>BoxMisc-4</t>
  </si>
  <si>
    <t>BoxMisc-5</t>
  </si>
  <si>
    <t>BoxMisc-6</t>
  </si>
  <si>
    <t>BoxMisc-7</t>
  </si>
  <si>
    <t>BoxMisc-8</t>
  </si>
  <si>
    <t>BoxMisc-9</t>
  </si>
  <si>
    <t>BoxMisc-10</t>
  </si>
  <si>
    <t>American Zinc Co.</t>
  </si>
  <si>
    <t>NJ Zinc Co.</t>
  </si>
  <si>
    <t>Century Brass Co.</t>
  </si>
  <si>
    <t>Essex Wire Corp.</t>
  </si>
  <si>
    <t>Boyne County Homes</t>
  </si>
  <si>
    <t>Spragge Lumber</t>
  </si>
  <si>
    <t>Rowan Steel Co.</t>
  </si>
  <si>
    <t>Hold for loading</t>
  </si>
  <si>
    <t>FM</t>
  </si>
  <si>
    <t>Paper-1</t>
  </si>
  <si>
    <t>Paper-2</t>
  </si>
  <si>
    <t>Paper-3</t>
  </si>
  <si>
    <t>Paper-4</t>
  </si>
  <si>
    <t>Paper-5</t>
  </si>
  <si>
    <t>Paper-6</t>
  </si>
  <si>
    <t>Paper-7</t>
  </si>
  <si>
    <t>Paper-8</t>
  </si>
  <si>
    <t>Paper-9</t>
  </si>
  <si>
    <t>Paper-10</t>
  </si>
  <si>
    <t>Newsprint</t>
  </si>
  <si>
    <t>Iroquois Falls, ON</t>
  </si>
  <si>
    <t>Smooth Rock Falls, ON</t>
  </si>
  <si>
    <t>SteelFill-1</t>
  </si>
  <si>
    <t>SteelFill-2</t>
  </si>
  <si>
    <t>SteelFill-3</t>
  </si>
  <si>
    <t>SteelFill-4</t>
  </si>
  <si>
    <t>SteelFill-5</t>
  </si>
  <si>
    <t>SteelFill-6</t>
  </si>
  <si>
    <t>SteelFill-7</t>
  </si>
  <si>
    <t>SteelFill-8</t>
  </si>
  <si>
    <t>SteelFill-9</t>
  </si>
  <si>
    <t>SteelFill-10</t>
  </si>
  <si>
    <t>Cochrane, ON</t>
  </si>
  <si>
    <t>Chrysler</t>
  </si>
  <si>
    <t>Brampton, ON</t>
  </si>
  <si>
    <t>Crane Ltd.</t>
  </si>
  <si>
    <t>Ontario Pipe</t>
  </si>
  <si>
    <t>Smithville, ON</t>
  </si>
  <si>
    <t>Metal Distributors &amp; Mfrs.</t>
  </si>
  <si>
    <t>Maple Leaf Construction</t>
  </si>
  <si>
    <t>Manitoba Bridge Co.</t>
  </si>
  <si>
    <t>Plywood</t>
  </si>
  <si>
    <t>Veneer</t>
  </si>
  <si>
    <t>ETON</t>
  </si>
  <si>
    <t>PERRY</t>
  </si>
  <si>
    <t>Block</t>
  </si>
  <si>
    <t>Color</t>
  </si>
  <si>
    <t>Sault Ste. Marie (including SOO and CP)</t>
  </si>
  <si>
    <t>Hawk Juction-Sault shorts</t>
  </si>
  <si>
    <t>Franz (CP Interchange)</t>
  </si>
  <si>
    <t>Oba (CN Interchange)</t>
  </si>
  <si>
    <t>Hearst (CN Interchange)</t>
  </si>
  <si>
    <t>Mead (Newaygo)</t>
  </si>
  <si>
    <t>Dubreuilville (Dubreuil Forest Prod)</t>
  </si>
  <si>
    <t>Mosher (Newaygo)</t>
  </si>
  <si>
    <t>Blue</t>
  </si>
  <si>
    <t>Green</t>
  </si>
  <si>
    <t>White</t>
  </si>
  <si>
    <t>Yellow</t>
  </si>
  <si>
    <t>Orange</t>
  </si>
  <si>
    <t>Pink</t>
  </si>
  <si>
    <t>Red</t>
  </si>
  <si>
    <t>Violet</t>
  </si>
  <si>
    <t>Black</t>
  </si>
  <si>
    <t>Brown</t>
  </si>
  <si>
    <t>Tan</t>
  </si>
  <si>
    <t>Grey</t>
  </si>
  <si>
    <t>Soo Subdivision</t>
  </si>
  <si>
    <t>Michipicoten Subdivision</t>
  </si>
  <si>
    <t>Northern Subdivision</t>
  </si>
  <si>
    <t>SteelCN2-1</t>
  </si>
  <si>
    <t>SteelCN2-2</t>
  </si>
  <si>
    <t>SteelCN2-3</t>
  </si>
  <si>
    <t>SteelCN2-4</t>
  </si>
  <si>
    <t>SteelCN2-5</t>
  </si>
  <si>
    <t>SteelCN2-6</t>
  </si>
  <si>
    <t>SteelCN2-7</t>
  </si>
  <si>
    <t>SteelCN2-8</t>
  </si>
  <si>
    <t>SteelCN2-9</t>
  </si>
  <si>
    <t>SteelCN2-10</t>
  </si>
  <si>
    <t>Pit Spur</t>
  </si>
  <si>
    <t>Perry</t>
  </si>
  <si>
    <t>Algoma Ore</t>
  </si>
  <si>
    <t>Hoppers - Sinter</t>
  </si>
  <si>
    <t>Hoppers - Coke</t>
  </si>
  <si>
    <t>Hoppers - Limestone</t>
  </si>
  <si>
    <t>Hoppers - Ore Fines</t>
  </si>
  <si>
    <t>Steel Products</t>
  </si>
  <si>
    <t>Fills (via CP)</t>
  </si>
  <si>
    <t>Fills (via CN)</t>
  </si>
  <si>
    <t>Loads (via CP)</t>
  </si>
  <si>
    <t>Loads (via CN)</t>
  </si>
  <si>
    <t>Min</t>
  </si>
  <si>
    <t>Max</t>
  </si>
  <si>
    <t>Freq.</t>
  </si>
  <si>
    <t>St. Marys - Limer</t>
  </si>
  <si>
    <t>Newaygo - Mosher</t>
  </si>
  <si>
    <t>Newaygo - Trembley</t>
  </si>
  <si>
    <t>St. Marys - Trembley</t>
  </si>
  <si>
    <t>Woodchips - Newaygo</t>
  </si>
  <si>
    <t>Woodpulp Boxcars - CP</t>
  </si>
  <si>
    <t>Newaygo - Mead</t>
  </si>
  <si>
    <t>United - Hearst</t>
  </si>
  <si>
    <t>Lecours - Hearst</t>
  </si>
  <si>
    <t>Paper</t>
  </si>
  <si>
    <t>Paper boxcars - CN</t>
  </si>
  <si>
    <t>Paper boxcars - ONT</t>
  </si>
  <si>
    <t>Misc Boxcars</t>
  </si>
  <si>
    <t>Metal Products - ONT</t>
  </si>
  <si>
    <t>Tank Cars</t>
  </si>
  <si>
    <t>Fill At</t>
  </si>
  <si>
    <t>Sault</t>
  </si>
  <si>
    <t>Franz</t>
  </si>
  <si>
    <t>Hearst</t>
  </si>
  <si>
    <t>Qty. Required</t>
  </si>
  <si>
    <t>"</t>
  </si>
  <si>
    <t>Horsey</t>
  </si>
  <si>
    <t>Thorold, ON</t>
  </si>
  <si>
    <t>Ontario Paper</t>
  </si>
  <si>
    <t>FB/GBS</t>
  </si>
  <si>
    <t>FB/GB</t>
  </si>
  <si>
    <t>Door County Advocate</t>
  </si>
  <si>
    <t>Sturgeon Bay, WI</t>
  </si>
  <si>
    <t>Quad Graphics</t>
  </si>
  <si>
    <t>Lomira, WI</t>
  </si>
  <si>
    <t>Milwaukee Journal Sentinel</t>
  </si>
  <si>
    <t>Milwaukee, WI</t>
  </si>
  <si>
    <t>Green Bay Press Gazette</t>
  </si>
  <si>
    <t>Star Tribune</t>
  </si>
  <si>
    <t>Minneapolis, MN</t>
  </si>
  <si>
    <t>Twin Cities Newspaper Services</t>
  </si>
  <si>
    <t>LumberAC-1</t>
  </si>
  <si>
    <t>LumberAC-2</t>
  </si>
  <si>
    <t>LumberAC-3</t>
  </si>
  <si>
    <t>LumberAC-4</t>
  </si>
  <si>
    <t>LumberAC-5</t>
  </si>
  <si>
    <t>LumberAC-6</t>
  </si>
  <si>
    <t>LumberAC-7</t>
  </si>
  <si>
    <t>LumberAC-8</t>
  </si>
  <si>
    <t>LumberAC-9</t>
  </si>
  <si>
    <t>LumberAC-10</t>
  </si>
  <si>
    <t>AC-CN (Hearst)</t>
  </si>
  <si>
    <t>Mead/Hawk</t>
  </si>
  <si>
    <t>Hawk</t>
  </si>
  <si>
    <t>St. Paul. MN</t>
  </si>
  <si>
    <t>The Badger Herald</t>
  </si>
  <si>
    <t>Madison, WI</t>
  </si>
  <si>
    <t>Chicago Tribune</t>
  </si>
  <si>
    <t>Chicago, IL</t>
  </si>
  <si>
    <t>Paper2-1</t>
  </si>
  <si>
    <t>Paper2-2</t>
  </si>
  <si>
    <t>Paper2-3</t>
  </si>
  <si>
    <t>Paper2-4</t>
  </si>
  <si>
    <t>Paper2-5</t>
  </si>
  <si>
    <t>Paper2-6</t>
  </si>
  <si>
    <t>Paper2-7</t>
  </si>
  <si>
    <t>Paper2-8</t>
  </si>
  <si>
    <t>Paper2-9</t>
  </si>
  <si>
    <t>Paper2-10</t>
  </si>
  <si>
    <t>Falvey Brothers Lumber</t>
  </si>
  <si>
    <t>Albia, IA</t>
  </si>
  <si>
    <t>Fullerton Lumber Co.</t>
  </si>
  <si>
    <t>Burlington, IA</t>
  </si>
  <si>
    <t>Mason City Lumber Co.</t>
  </si>
  <si>
    <t>Mason City, IA</t>
  </si>
  <si>
    <t>Harbour Plywood Corp.</t>
  </si>
  <si>
    <t>Northern Lumber &amp; Fuel Co.</t>
  </si>
  <si>
    <t>Independent Lumber Co.</t>
  </si>
  <si>
    <t>Omaha, NE</t>
  </si>
  <si>
    <t>East River Lumber &amp; Fuel Co.</t>
  </si>
  <si>
    <t>Ireland Lumber Co.</t>
  </si>
  <si>
    <t>Grand Forks, ND</t>
  </si>
  <si>
    <t>Badger Lumber Co.</t>
  </si>
  <si>
    <t>Herrington, KS</t>
  </si>
  <si>
    <t>McDonald Dure Lumber</t>
  </si>
  <si>
    <t>Pacific Lumber Co.</t>
  </si>
  <si>
    <t>Pacific, MO</t>
  </si>
  <si>
    <t>Paper Supply Co.</t>
  </si>
  <si>
    <t>Kansas City, MO</t>
  </si>
  <si>
    <t>Nationwide Papers</t>
  </si>
  <si>
    <t>Springfield, MO</t>
  </si>
  <si>
    <t>Springfield Newspapers Inc.</t>
  </si>
  <si>
    <t>Commercial Color Press Inc.</t>
  </si>
  <si>
    <t>St. Louis, MO</t>
  </si>
  <si>
    <t>Mead Products</t>
  </si>
  <si>
    <t>White Rock, TX</t>
  </si>
  <si>
    <t>Krueger Co.</t>
  </si>
  <si>
    <t>Phoenix, AZ</t>
  </si>
  <si>
    <t>Orange County Register</t>
  </si>
  <si>
    <t>Anaheim, CA</t>
  </si>
  <si>
    <t>Winnipeg Sun</t>
  </si>
  <si>
    <t>Winnipeg Free Press</t>
  </si>
  <si>
    <t>The Western Producer</t>
  </si>
  <si>
    <t>Saskatoon, SK</t>
  </si>
  <si>
    <t>Weyerhaeuser Canada</t>
  </si>
  <si>
    <t>Company Supplies</t>
  </si>
  <si>
    <t>Steelton Shop Stores</t>
  </si>
  <si>
    <t>TATNALL</t>
  </si>
  <si>
    <t>Mile 212 Spur</t>
  </si>
  <si>
    <t>Tatnall</t>
  </si>
  <si>
    <t>Workshop</t>
  </si>
  <si>
    <t>Hold for 2 days</t>
  </si>
  <si>
    <t>Treated Ties</t>
  </si>
  <si>
    <t>Hawk Junction Yard</t>
  </si>
  <si>
    <t>Sault Ste. Marie. ON</t>
  </si>
  <si>
    <t>Hold for work train</t>
  </si>
  <si>
    <t>Company Spur</t>
  </si>
  <si>
    <t>Agent SOO Line</t>
  </si>
  <si>
    <t>Sault Ste. Marie, MI</t>
  </si>
  <si>
    <t>Diesel Shop</t>
  </si>
  <si>
    <t>Dominion Bronze &amp; Iron</t>
  </si>
  <si>
    <t>LCL Freight</t>
  </si>
  <si>
    <t>Biltwell Furniture</t>
  </si>
  <si>
    <t>Western Electric Co.</t>
  </si>
  <si>
    <t>Portland, OR</t>
  </si>
  <si>
    <t>Electrical Parts</t>
  </si>
  <si>
    <t>SOO-AC</t>
  </si>
  <si>
    <t>AC Wayfreight</t>
  </si>
  <si>
    <t>AC Company Svc.</t>
  </si>
  <si>
    <t>Salt Lake City, UT</t>
  </si>
  <si>
    <t>Empire Sash and Door</t>
  </si>
  <si>
    <t>Anderson Bros. Lumber Co.</t>
  </si>
  <si>
    <t>FRATER</t>
  </si>
  <si>
    <t>Newaygo FP - N Spur</t>
  </si>
  <si>
    <t>Normick Perron</t>
  </si>
  <si>
    <t>La Sarre, QC</t>
  </si>
  <si>
    <t>Matagami, QC</t>
  </si>
  <si>
    <t>Senneterre, QC</t>
  </si>
  <si>
    <t>Amos, QC</t>
  </si>
  <si>
    <t>Weldwood of Canada</t>
  </si>
  <si>
    <t>Legault Metal</t>
  </si>
  <si>
    <t>Steel Scrap</t>
  </si>
  <si>
    <t>Forex</t>
  </si>
  <si>
    <t>Val d'Or, QC</t>
  </si>
  <si>
    <t>Particleboard</t>
  </si>
  <si>
    <t>Bisson &amp; Bisson</t>
  </si>
  <si>
    <t>CN (Hearst)-AC</t>
  </si>
  <si>
    <t>Portsmouth Metal Fabricators</t>
  </si>
  <si>
    <t>Portsmouth, NH</t>
  </si>
  <si>
    <t>Albany Steel &amp; Iron Supply Co</t>
  </si>
  <si>
    <t>Albany, NY</t>
  </si>
  <si>
    <t>Republic Steel</t>
  </si>
  <si>
    <t>Long Island City, NY</t>
  </si>
  <si>
    <t>Marine Industries</t>
  </si>
  <si>
    <t>Sorel, QC</t>
  </si>
  <si>
    <t>Port of Montreal</t>
  </si>
  <si>
    <t>Montreal, QC</t>
  </si>
  <si>
    <t>Container Corp. Of America</t>
  </si>
  <si>
    <t>Brewton, AL</t>
  </si>
  <si>
    <t>James River Corp.</t>
  </si>
  <si>
    <t>Naheola, AL</t>
  </si>
  <si>
    <t>Proctor &amp; Gamble</t>
  </si>
  <si>
    <t>Albany, GA</t>
  </si>
  <si>
    <t>Georgia Kaolin</t>
  </si>
  <si>
    <t>Macon, GA</t>
  </si>
  <si>
    <t>Kaolin Slurry</t>
  </si>
  <si>
    <t>Abitibi-Price Inc.</t>
  </si>
  <si>
    <t>Materiaux Blanchet</t>
  </si>
  <si>
    <t>Oriented Strandboard (OSB)</t>
  </si>
  <si>
    <t>Steel Blanks</t>
  </si>
  <si>
    <t>National Lumber</t>
  </si>
  <si>
    <t>Mansfield, MA</t>
  </si>
  <si>
    <t>Dartmouth Building Supply</t>
  </si>
  <si>
    <t>Dartmouth, MA</t>
  </si>
  <si>
    <t>Weyerhaeuser Lumber</t>
  </si>
  <si>
    <t>Baltimore, MD</t>
  </si>
  <si>
    <t>Plycraft Inc.</t>
  </si>
  <si>
    <t>Lawrence, MA</t>
  </si>
  <si>
    <t>Coastal Wood Products</t>
  </si>
  <si>
    <t>Baldwin Park, CA</t>
  </si>
  <si>
    <t>Parr Lumber</t>
  </si>
  <si>
    <t>Chino, CA</t>
  </si>
  <si>
    <t>Antrim Lumber Co.</t>
  </si>
  <si>
    <t>Augusta, KS</t>
  </si>
  <si>
    <t>Boise Cascade</t>
  </si>
  <si>
    <t>Kenora, ON</t>
  </si>
  <si>
    <t>Travers Lumber Co.</t>
  </si>
  <si>
    <t>Mobile, AL</t>
  </si>
  <si>
    <t>Kelly Lumber Co.</t>
  </si>
  <si>
    <t>Fayetteville, AR</t>
  </si>
  <si>
    <t>Fordyce Lumber Co.</t>
  </si>
  <si>
    <t>Fordyce, AR</t>
  </si>
  <si>
    <t>Ply-Marts</t>
  </si>
  <si>
    <t>Elizabeth, GA</t>
  </si>
  <si>
    <t>CN Hearst)-AC-CN (Oba)</t>
  </si>
  <si>
    <t>Cedar Lumber Co.</t>
  </si>
  <si>
    <t>Cedar Falls, IA</t>
  </si>
  <si>
    <t>Johnson Cashway Lumber</t>
  </si>
  <si>
    <t>Interstate Lumber</t>
  </si>
  <si>
    <t>Helena, MT</t>
  </si>
  <si>
    <t>State Lumber Co.</t>
  </si>
  <si>
    <t>Great Falls, MT</t>
  </si>
  <si>
    <t>Great Plains Supply</t>
  </si>
  <si>
    <t>Inland Lumber Co.</t>
  </si>
  <si>
    <t>Clearfield, UT</t>
  </si>
  <si>
    <t>Transwest Lumber</t>
  </si>
  <si>
    <t>Sandy, UT</t>
  </si>
  <si>
    <t>Alexandria Lumber Co.</t>
  </si>
  <si>
    <t>Alexandria, MN</t>
  </si>
  <si>
    <t>CN Hearst)-AC-CP (Franz)</t>
  </si>
  <si>
    <t>Misc-1</t>
  </si>
  <si>
    <t>Misc-2</t>
  </si>
  <si>
    <t>Misc-3</t>
  </si>
  <si>
    <t>Misc-4</t>
  </si>
  <si>
    <t>Misc-5</t>
  </si>
  <si>
    <t>Misc-6</t>
  </si>
  <si>
    <t>Misc-7</t>
  </si>
  <si>
    <t>Misc-8</t>
  </si>
  <si>
    <t>Misc-9</t>
  </si>
  <si>
    <t>Misc-10</t>
  </si>
  <si>
    <t>Sault Ste. Marie</t>
  </si>
  <si>
    <t>CN (Oba)-AC-CP (SSM)</t>
  </si>
  <si>
    <t>CP (SSM)-AC-CN (Oba)</t>
  </si>
  <si>
    <t>Petro Canada</t>
  </si>
  <si>
    <t>84 Lumber</t>
  </si>
  <si>
    <t>Ambridge, PA</t>
  </si>
  <si>
    <t>Stevens Miller Lumber</t>
  </si>
  <si>
    <t>Summit, NJ</t>
  </si>
  <si>
    <t>Pioneer Chlor-Alkali</t>
  </si>
  <si>
    <t>Monolith, CA</t>
  </si>
  <si>
    <t>St. Marys Paper Co.</t>
  </si>
  <si>
    <t>TP</t>
  </si>
  <si>
    <t>Niagara Falls, NY</t>
  </si>
  <si>
    <t>Chlorine</t>
  </si>
  <si>
    <t>HAZARDOUS - POISON GAS</t>
  </si>
  <si>
    <t>Empty Car (Chlorine)</t>
  </si>
  <si>
    <t>Delaware City, DE</t>
  </si>
  <si>
    <t>Western Bridge &amp; Stl. Fabricators</t>
  </si>
  <si>
    <t>Westeel Co.</t>
  </si>
  <si>
    <t>Star Iron &amp; Steel</t>
  </si>
  <si>
    <t>Tacoma, WA</t>
  </si>
  <si>
    <t>Gibson Welding Co.</t>
  </si>
  <si>
    <t>Spokane, WA</t>
  </si>
  <si>
    <t>Corrugated Metals</t>
  </si>
  <si>
    <t>Clay Slurry</t>
  </si>
  <si>
    <t>Days</t>
  </si>
  <si>
    <t>Weyerhaeuser - Sault</t>
  </si>
  <si>
    <t>Misc Quebec</t>
  </si>
  <si>
    <t>LumberAC2-1</t>
  </si>
  <si>
    <t>LumberAC2-2</t>
  </si>
  <si>
    <t>LumberAC2-3</t>
  </si>
  <si>
    <t>LumberAC2-4</t>
  </si>
  <si>
    <t>LumberAC2-5</t>
  </si>
  <si>
    <t>LumberAC2-6</t>
  </si>
  <si>
    <t>LumberAC2-7</t>
  </si>
  <si>
    <t>LumberAC2-8</t>
  </si>
  <si>
    <t>LumberAC2-9</t>
  </si>
  <si>
    <t>LumberAC2-10</t>
  </si>
  <si>
    <t>LO</t>
  </si>
  <si>
    <t>Cement</t>
  </si>
  <si>
    <t>Lyons Cement</t>
  </si>
  <si>
    <t>Canada Cement</t>
  </si>
  <si>
    <t>Exshaw, AB</t>
  </si>
  <si>
    <t>Newaygo - Mosher-CP</t>
  </si>
  <si>
    <t>Weldwood - Searchmont</t>
  </si>
  <si>
    <t>Neenah, WI</t>
  </si>
  <si>
    <t>Allis-Chambers Mfg.</t>
  </si>
  <si>
    <t>Allis, WI</t>
  </si>
  <si>
    <t>Lynton (Ft. McMurray), AB</t>
  </si>
  <si>
    <t>Grande Prairie, AB</t>
  </si>
  <si>
    <t>Suncor</t>
  </si>
  <si>
    <t>Rhone Poulenc Basic Chemicals</t>
  </si>
  <si>
    <t>Goodyear Tire &amp; Rubber</t>
  </si>
  <si>
    <t>Spring Hope, NC</t>
  </si>
  <si>
    <t>Conveyor Belts</t>
  </si>
  <si>
    <t>Agent CSX</t>
  </si>
  <si>
    <t>Toledo, OH</t>
  </si>
  <si>
    <t>Buffalo Forge</t>
  </si>
  <si>
    <t>Industrial Machinery</t>
  </si>
  <si>
    <t>Agent Conrail</t>
  </si>
  <si>
    <t>Buffalo, NY</t>
  </si>
  <si>
    <t>National Machinery Co.</t>
  </si>
  <si>
    <t>Machinery</t>
  </si>
  <si>
    <t>Lift Equipment Rebuilders</t>
  </si>
  <si>
    <t>Oakland, CA</t>
  </si>
  <si>
    <t>Mining Equipment</t>
  </si>
  <si>
    <t>Kidd Creek Mines</t>
  </si>
  <si>
    <t>Timmins, ON</t>
  </si>
  <si>
    <t>Kerr-McGee Chemical</t>
  </si>
  <si>
    <t>Searles, CA</t>
  </si>
  <si>
    <t>Wininpeg, MB</t>
  </si>
  <si>
    <t>Walker Metal Products</t>
  </si>
  <si>
    <t>Hillsport, ON</t>
  </si>
  <si>
    <t>Bridge Girders</t>
  </si>
  <si>
    <t>Pulpwood-CP-KCWX</t>
  </si>
  <si>
    <t>Misc. Traffic</t>
  </si>
  <si>
    <t>Ore Concentrate</t>
  </si>
  <si>
    <t>SOO/Midwest/Misc.</t>
  </si>
  <si>
    <t>Dubrueil (RR Ties)</t>
  </si>
  <si>
    <t>Pulpwood-Weldwood</t>
  </si>
  <si>
    <t>Cominco</t>
  </si>
  <si>
    <t>Trail, BC</t>
  </si>
  <si>
    <t>Copper Concetrate</t>
  </si>
  <si>
    <t>Oversize load - use idler cars</t>
  </si>
  <si>
    <t>Circuit Breakers</t>
  </si>
  <si>
    <t>FD</t>
  </si>
  <si>
    <t>Canadian General Electric</t>
  </si>
  <si>
    <t>Guelph, ON</t>
  </si>
  <si>
    <t>Power Transformer</t>
  </si>
  <si>
    <t>Oversize load/weight restricted</t>
  </si>
  <si>
    <t>Simpson Paper</t>
  </si>
  <si>
    <t>Anderson, CA</t>
  </si>
  <si>
    <t>LA Times</t>
  </si>
  <si>
    <t>Los Angeles, CA</t>
  </si>
  <si>
    <t>Leo Box Compay</t>
  </si>
  <si>
    <t>Northern Paper Co.</t>
  </si>
  <si>
    <t>Hopkins, MN</t>
  </si>
  <si>
    <t>Quality Park Box Co.</t>
  </si>
  <si>
    <t>St. Paul, MN</t>
  </si>
  <si>
    <t>Kraft Paper</t>
  </si>
  <si>
    <t>Ashland, WI</t>
  </si>
  <si>
    <t>Biron, WI</t>
  </si>
  <si>
    <t>Midtec Paper</t>
  </si>
  <si>
    <t>Belkin Paper Box Ltd</t>
  </si>
  <si>
    <t>Crown-Zellerbach</t>
  </si>
  <si>
    <t>General Foods</t>
  </si>
  <si>
    <t>Fiberboard Products Co.</t>
  </si>
  <si>
    <t>Abitibi-Price, Inc.</t>
  </si>
  <si>
    <t>Grinding Balls</t>
  </si>
  <si>
    <t>Toronto, ON</t>
  </si>
  <si>
    <t>Donohue Normick, Inc.</t>
  </si>
  <si>
    <t>Levesque Plywood Co.</t>
  </si>
  <si>
    <t>Levesque Lumber Co.</t>
  </si>
  <si>
    <t>LumberHearst-1</t>
  </si>
  <si>
    <t>LumberHearst-2</t>
  </si>
  <si>
    <t>LumberHearst-3</t>
  </si>
  <si>
    <t>LumberHearst-4</t>
  </si>
  <si>
    <t>LumberHearst-5</t>
  </si>
  <si>
    <t>LumberHearst-6</t>
  </si>
  <si>
    <t>LumberHearst-7</t>
  </si>
  <si>
    <t>LumberHearst-8</t>
  </si>
  <si>
    <t>LumberHearst-9</t>
  </si>
  <si>
    <t>LumberHearst-10</t>
  </si>
  <si>
    <t>LumberHearst2-1</t>
  </si>
  <si>
    <t>LumberHearst2-2</t>
  </si>
  <si>
    <t>LumberHearst2-3</t>
  </si>
  <si>
    <t>LumberHearst2-4</t>
  </si>
  <si>
    <t>LumberHearst2-5</t>
  </si>
  <si>
    <t>LumberHearst2-6</t>
  </si>
  <si>
    <t>LumberHearst2-7</t>
  </si>
  <si>
    <t>LumberHearst2-8</t>
  </si>
  <si>
    <t>LumberHearst2-9</t>
  </si>
  <si>
    <t>LumberHearst2-10</t>
  </si>
  <si>
    <t>Villeneuve Transport</t>
  </si>
  <si>
    <t>QuickPrint-1</t>
  </si>
  <si>
    <t>QuickPrint-2</t>
  </si>
  <si>
    <t>QuickPrint-3</t>
  </si>
  <si>
    <t>QuickPrint-4</t>
  </si>
  <si>
    <t>QuickPrint-5</t>
  </si>
  <si>
    <t>QuickPrint-6</t>
  </si>
  <si>
    <t>QuickPrint-7</t>
  </si>
  <si>
    <t>QuickPrint-8</t>
  </si>
  <si>
    <t>QuickPrint-9</t>
  </si>
  <si>
    <t>QuickPrint-10</t>
  </si>
  <si>
    <t>Levesque Plywood</t>
  </si>
  <si>
    <t>Tank2-1</t>
  </si>
  <si>
    <t>Tank1-1</t>
  </si>
  <si>
    <t>Tank1-2</t>
  </si>
  <si>
    <t>Tank1-3</t>
  </si>
  <si>
    <t>Tank1-4</t>
  </si>
  <si>
    <t>Tank1-5</t>
  </si>
  <si>
    <t>Tank1-6</t>
  </si>
  <si>
    <t>Tank1-7</t>
  </si>
  <si>
    <t>Tank1-8</t>
  </si>
  <si>
    <t>Tank1-9</t>
  </si>
  <si>
    <t>Tank1-10</t>
  </si>
  <si>
    <t>Tank2-2</t>
  </si>
  <si>
    <t>Tank2-3</t>
  </si>
  <si>
    <t>Tank2-4</t>
  </si>
  <si>
    <t>Tank2-5</t>
  </si>
  <si>
    <t>Tank2-6</t>
  </si>
  <si>
    <t>Tank2-7</t>
  </si>
  <si>
    <t>Tank2-8</t>
  </si>
  <si>
    <t>Tank2-9</t>
  </si>
  <si>
    <t>Tank2-10</t>
  </si>
  <si>
    <t>Tank3-1</t>
  </si>
  <si>
    <t>Tank3-2</t>
  </si>
  <si>
    <t>Tank3-3</t>
  </si>
  <si>
    <t>Tank3-4</t>
  </si>
  <si>
    <t>Tank3-5</t>
  </si>
  <si>
    <t>Tank3-6</t>
  </si>
  <si>
    <t>Tank3-7</t>
  </si>
  <si>
    <t>Tank3-8</t>
  </si>
  <si>
    <t>Tank3-9</t>
  </si>
  <si>
    <t>Tank3-10</t>
  </si>
  <si>
    <t>Canadian Superior Oil Co.</t>
  </si>
  <si>
    <t>DominionBridge-1</t>
  </si>
  <si>
    <t>DominionBridge-2</t>
  </si>
  <si>
    <t>DominionBridge-3</t>
  </si>
  <si>
    <t>DominionBridge-4</t>
  </si>
  <si>
    <t>DominionBridge-5</t>
  </si>
  <si>
    <t>DominionBridge-6</t>
  </si>
  <si>
    <t>DominionBridge-7</t>
  </si>
  <si>
    <t>DominionBridge-8</t>
  </si>
  <si>
    <t>DominionBridge-9</t>
  </si>
  <si>
    <t>DominionBridge-10</t>
  </si>
  <si>
    <t>Track Materials</t>
  </si>
  <si>
    <t>Shed Track</t>
  </si>
  <si>
    <t>Hold for 3 days</t>
  </si>
  <si>
    <t>AC-OCS2-1</t>
  </si>
  <si>
    <t>AC-OCS2-2</t>
  </si>
  <si>
    <t>AC-OCS2-3</t>
  </si>
  <si>
    <t>AC-OCS2-4</t>
  </si>
  <si>
    <t>AC-OCS2-5</t>
  </si>
  <si>
    <t>AC-OCS2-6</t>
  </si>
  <si>
    <t>AC-OCS2-7</t>
  </si>
  <si>
    <t>AC-OCS2-8</t>
  </si>
  <si>
    <t>AC-OCS2-9</t>
  </si>
  <si>
    <t>AC-OCS2-10</t>
  </si>
  <si>
    <t>AC-OCS1-1</t>
  </si>
  <si>
    <t>AC-OCS1-2</t>
  </si>
  <si>
    <t>AC-OCS1-3</t>
  </si>
  <si>
    <t>AC-OCS1-4</t>
  </si>
  <si>
    <t>AC-OCS1-5</t>
  </si>
  <si>
    <t>AC-OCS1-6</t>
  </si>
  <si>
    <t>AC-OCS1-7</t>
  </si>
  <si>
    <t>AC-OCS1-8</t>
  </si>
  <si>
    <t>AC-OCS1-9</t>
  </si>
  <si>
    <t>AC-OCS1-10</t>
  </si>
  <si>
    <t>Hold</t>
  </si>
  <si>
    <t>Hold for 4 days</t>
  </si>
  <si>
    <t>Hold 3 days</t>
  </si>
  <si>
    <t>AC-OCS-Gen-1</t>
  </si>
  <si>
    <t>AC-OCS-Gen-2</t>
  </si>
  <si>
    <t>AC-OCS-Gen-3</t>
  </si>
  <si>
    <t>AC-OCS-Gen-4</t>
  </si>
  <si>
    <t>AC-OCS-Gen-5</t>
  </si>
  <si>
    <t>AC-OCS-Gen-6</t>
  </si>
  <si>
    <t>AC-OCS-Gen-7</t>
  </si>
  <si>
    <t>AC-OCS-Gen-8</t>
  </si>
  <si>
    <t>AC-OCS-Gen-9</t>
  </si>
  <si>
    <t>AC-OCS-Gen-10</t>
  </si>
  <si>
    <t>Assigned OCS/MOW</t>
  </si>
  <si>
    <t>Home Club</t>
  </si>
  <si>
    <t>Bumstead, AZ</t>
  </si>
  <si>
    <t>Arlington Lumber &amp; Fuel Co.</t>
  </si>
  <si>
    <t>Dominion Lumber &amp; Fuel</t>
  </si>
  <si>
    <t>Colby &amp; Dickenson</t>
  </si>
  <si>
    <t>Seattle, WA</t>
  </si>
  <si>
    <t>Harbor Plywood</t>
  </si>
  <si>
    <t>City Lumber &amp; Fuel</t>
  </si>
  <si>
    <t>Old Bridge Chemical Co.</t>
  </si>
  <si>
    <t>Runyon, NY</t>
  </si>
  <si>
    <t>Hydrochloric Acid</t>
  </si>
  <si>
    <t>Empty Car (Hydrochloric acid)</t>
  </si>
  <si>
    <t>Telephone Poles</t>
  </si>
  <si>
    <t>LCL</t>
  </si>
  <si>
    <t>Ramp Track</t>
  </si>
  <si>
    <t>M</t>
  </si>
  <si>
    <t>T</t>
  </si>
  <si>
    <t>W</t>
  </si>
  <si>
    <t>F</t>
  </si>
  <si>
    <t>S</t>
  </si>
  <si>
    <t>Fort Whyte, MB</t>
  </si>
  <si>
    <t>DAY OF WEEK:</t>
  </si>
  <si>
    <t>FL</t>
  </si>
  <si>
    <t>Bell Pole</t>
  </si>
  <si>
    <t>Lumby, BC</t>
  </si>
  <si>
    <t>WoodpulpCP-1</t>
  </si>
  <si>
    <t>WoodpulpCN-1</t>
  </si>
  <si>
    <t>WoodpulpCN-2</t>
  </si>
  <si>
    <t>WoodpulpCN-3</t>
  </si>
  <si>
    <t>WoodpulpCN-4</t>
  </si>
  <si>
    <t>WoodpulpCN-5</t>
  </si>
  <si>
    <t>WoodpulpCN-6</t>
  </si>
  <si>
    <t>WoodpulpCN-7</t>
  </si>
  <si>
    <t>WoodpulpCN-8</t>
  </si>
  <si>
    <t>WoodpulpCN-9</t>
  </si>
  <si>
    <t>WoodpulpCN-10</t>
  </si>
  <si>
    <t>WoodpulpCP-2</t>
  </si>
  <si>
    <t>WoodpulpCP-3</t>
  </si>
  <si>
    <t>WoodpulpCP-4</t>
  </si>
  <si>
    <t>WoodpulpCP-5</t>
  </si>
  <si>
    <t>WoodpulpCP-6</t>
  </si>
  <si>
    <t>WoodpulpCP-7</t>
  </si>
  <si>
    <t>WoodpulpCP-8</t>
  </si>
  <si>
    <t>WoodpulpCP-9</t>
  </si>
  <si>
    <t>WoodpulpCP-10</t>
  </si>
  <si>
    <t>Great Lakes Power Corp.</t>
  </si>
  <si>
    <t>Montreal Falls</t>
  </si>
  <si>
    <t>MONTREAL FALLS</t>
  </si>
  <si>
    <t>Great Lakes Power misc.</t>
  </si>
  <si>
    <t>Franz/Oba</t>
  </si>
  <si>
    <t>Oba Yard</t>
  </si>
  <si>
    <t>DH-AC-1</t>
  </si>
  <si>
    <t>DH-AC-2</t>
  </si>
  <si>
    <t>DH-AC-3</t>
  </si>
  <si>
    <t>DH-AC-4</t>
  </si>
  <si>
    <t>DH-AC-5</t>
  </si>
  <si>
    <t>DH-AC-6</t>
  </si>
  <si>
    <t>DH-AC-7</t>
  </si>
  <si>
    <t>DH-AC-8</t>
  </si>
  <si>
    <t>DH-AC-9</t>
  </si>
  <si>
    <t>DH-AC-10</t>
  </si>
  <si>
    <t>DH-IC-1</t>
  </si>
  <si>
    <t>DH-IC-2</t>
  </si>
  <si>
    <t>DH-IC-3</t>
  </si>
  <si>
    <t>DH-IC-4</t>
  </si>
  <si>
    <t>DH-IC-5</t>
  </si>
  <si>
    <t>DH-IC-6</t>
  </si>
  <si>
    <t>DH-IC-7</t>
  </si>
  <si>
    <t>DH-IC-8</t>
  </si>
  <si>
    <t>DH-IC-9</t>
  </si>
  <si>
    <t>DH-IC-10</t>
  </si>
  <si>
    <t>AC-CP (Sault Ste Marie)</t>
  </si>
  <si>
    <t>Wawa Yard</t>
  </si>
  <si>
    <t>Wyborn</t>
  </si>
  <si>
    <t>Franz Yard</t>
  </si>
  <si>
    <t>Hearst Yard</t>
  </si>
  <si>
    <t>Ferrous Chloride</t>
  </si>
  <si>
    <t>Empty Car (Ferrous Chloride)</t>
  </si>
  <si>
    <t>Reagent Chemical</t>
  </si>
  <si>
    <t>Becancour, QC</t>
  </si>
  <si>
    <t>Sodium Hydroxide</t>
  </si>
  <si>
    <t>Empty Car (Sodium Hydroxide)</t>
  </si>
  <si>
    <t>Canadian Superior Oil Ltd</t>
  </si>
  <si>
    <t>SOO-AC-CN (Oba)</t>
  </si>
  <si>
    <t>CN (Oba)-AC-SOO</t>
  </si>
  <si>
    <t>Capreol, ON</t>
  </si>
  <si>
    <t>Hawker-Siddeley Transportation</t>
  </si>
  <si>
    <t>Trenton, NS</t>
  </si>
  <si>
    <t>Nakina Forest Products</t>
  </si>
  <si>
    <t>Nakina, ON</t>
  </si>
  <si>
    <t>National Railway Equipment</t>
  </si>
  <si>
    <t>Silvis, IL</t>
  </si>
  <si>
    <t>Locomotive Parts</t>
  </si>
  <si>
    <t>Wastewater Treatment Plant</t>
  </si>
  <si>
    <t>Kingston, ON</t>
  </si>
  <si>
    <t>Red Rock ON</t>
  </si>
  <si>
    <t>Texaco Canada</t>
  </si>
  <si>
    <t>Nanticoke, ON</t>
  </si>
  <si>
    <t>Nanticoke</t>
  </si>
  <si>
    <t>Sherwood Park, AB</t>
  </si>
  <si>
    <t>Empty Car (Lube Oil)</t>
  </si>
  <si>
    <t>Lube Oil</t>
  </si>
  <si>
    <t>Propane - Wawa</t>
  </si>
  <si>
    <t>Propane - Hearst</t>
  </si>
  <si>
    <t>Fuel Tanks - Gulf Oil Hearst</t>
  </si>
  <si>
    <t>Fuel Tanks - Imperial Hearst</t>
  </si>
  <si>
    <t>Sulphur - St. Marys</t>
  </si>
  <si>
    <t>Sulphur - Other</t>
  </si>
  <si>
    <t>Ferric Chloride</t>
  </si>
  <si>
    <t>Fuel Tanks - Logging camps</t>
  </si>
  <si>
    <t>Fuel Tanks - CN Misc</t>
  </si>
  <si>
    <t>Fuel Tanks - Imperial Sault</t>
  </si>
  <si>
    <t>Fuel Tanks - Hawk Jct</t>
  </si>
  <si>
    <t>Fuel Tanks - Imperial Wawa</t>
  </si>
  <si>
    <t>Fuel Tanks - Texaco Wawa</t>
  </si>
  <si>
    <t>Pulp &amp; Paper Boxcars</t>
  </si>
  <si>
    <t>Nakina/Longlac</t>
  </si>
  <si>
    <t>Lumber &amp; Wood Products</t>
  </si>
  <si>
    <t>Levesque - Hearst</t>
  </si>
  <si>
    <t>Misc Boxcars AC online</t>
  </si>
  <si>
    <t>CN Oba-Hearst Misc</t>
  </si>
  <si>
    <t>Rail</t>
  </si>
  <si>
    <t>Rail and Tie Storage</t>
  </si>
  <si>
    <t>GB/FM</t>
  </si>
  <si>
    <t>Hornepayne, ON</t>
  </si>
  <si>
    <t>CNR Rail Welding Facility</t>
  </si>
  <si>
    <t>CN MacMillan Yard</t>
  </si>
  <si>
    <t>Vaughan, ON</t>
  </si>
  <si>
    <t>CP Weston Yard</t>
  </si>
  <si>
    <t>CP Alyth Yard</t>
  </si>
  <si>
    <t>Cement Hoppers - Hearst</t>
  </si>
  <si>
    <t>Cement Hoppers - Lyons</t>
  </si>
  <si>
    <t>Utility Poles</t>
  </si>
  <si>
    <t>Misc Cov. Hoppers CN</t>
  </si>
  <si>
    <t>Company Service</t>
  </si>
  <si>
    <t>Total pulls:</t>
  </si>
  <si>
    <t>Freeport, TX</t>
  </si>
  <si>
    <t>Olin Corporation</t>
  </si>
  <si>
    <t>GM Electromotive Division</t>
  </si>
  <si>
    <t>LaGrange, IL</t>
  </si>
  <si>
    <t>American Brake Shoe &amp; Foundry</t>
  </si>
  <si>
    <t>Minneaopolis, MN</t>
  </si>
  <si>
    <t>Brake Parts</t>
  </si>
  <si>
    <t>Falls Concrete</t>
  </si>
  <si>
    <t>Thief River Falls, MN</t>
  </si>
  <si>
    <t>Concrete Blocks</t>
  </si>
  <si>
    <t>General Electric</t>
  </si>
  <si>
    <t>DeKalb, IL</t>
  </si>
  <si>
    <t>Electric Motors</t>
  </si>
  <si>
    <t>BoxCN-1</t>
  </si>
  <si>
    <t>BoxCN-2</t>
  </si>
  <si>
    <t>BoxCN-3</t>
  </si>
  <si>
    <t>BoxCN-4</t>
  </si>
  <si>
    <t>BoxCN-5</t>
  </si>
  <si>
    <t>BoxCN-6</t>
  </si>
  <si>
    <t>BoxCN-7</t>
  </si>
  <si>
    <t>BoxCN-8</t>
  </si>
  <si>
    <t>BoxCN-9</t>
  </si>
  <si>
    <t>BoxCN-10</t>
  </si>
  <si>
    <t>BoxSOO-1</t>
  </si>
  <si>
    <t>BoxSOO-2</t>
  </si>
  <si>
    <t>BoxSOO-3</t>
  </si>
  <si>
    <t>BoxSOO-4</t>
  </si>
  <si>
    <t>BoxSOO-5</t>
  </si>
  <si>
    <t>BoxSOO-6</t>
  </si>
  <si>
    <t>BoxSOO-7</t>
  </si>
  <si>
    <t>BoxSOO-8</t>
  </si>
  <si>
    <t>BoxSOO-9</t>
  </si>
  <si>
    <t>BoxSOO-10</t>
  </si>
  <si>
    <t>LumberCN-1</t>
  </si>
  <si>
    <t>LumberCN-2</t>
  </si>
  <si>
    <t>LumberCN-3</t>
  </si>
  <si>
    <t>LumberCN-4</t>
  </si>
  <si>
    <t>LumberCN-5</t>
  </si>
  <si>
    <t>LumberCN-6</t>
  </si>
  <si>
    <t>LumberCN-7</t>
  </si>
  <si>
    <t>LumberCN-8</t>
  </si>
  <si>
    <t>LumberCN-9</t>
  </si>
  <si>
    <t>LumberCN-10</t>
  </si>
  <si>
    <t>LumberCN2-1</t>
  </si>
  <si>
    <t>LumberCN2-2</t>
  </si>
  <si>
    <t>LumberCN2-3</t>
  </si>
  <si>
    <t>LumberCN2-4</t>
  </si>
  <si>
    <t>LumberCN2-5</t>
  </si>
  <si>
    <t>LumberCN2-6</t>
  </si>
  <si>
    <t>LumberCN2-7</t>
  </si>
  <si>
    <t>LumberCN2-8</t>
  </si>
  <si>
    <t>LumberCN2-9</t>
  </si>
  <si>
    <t>LumberCN2-10</t>
  </si>
  <si>
    <t>Domtar Chemicals</t>
  </si>
  <si>
    <t>Pitch</t>
  </si>
  <si>
    <t>Empty Car (Pitch)</t>
  </si>
  <si>
    <t>Aluminum Co. of Canada</t>
  </si>
  <si>
    <t>Arvida, QC</t>
  </si>
  <si>
    <t>Long Lake Forest Products</t>
  </si>
  <si>
    <t>Longlac, ON</t>
  </si>
  <si>
    <t>MiscHoppers-1</t>
  </si>
  <si>
    <t>MiscHoppers-2</t>
  </si>
  <si>
    <t>MiscHoppers-3</t>
  </si>
  <si>
    <t>MiscHoppers-4</t>
  </si>
  <si>
    <t>MiscHoppers-5</t>
  </si>
  <si>
    <t>MiscHoppers-6</t>
  </si>
  <si>
    <t>MiscHoppers-7</t>
  </si>
  <si>
    <t>MiscHoppers-8</t>
  </si>
  <si>
    <t>MiscHoppers-9</t>
  </si>
  <si>
    <t>MiscHoppers-10</t>
  </si>
  <si>
    <t>Coal</t>
  </si>
  <si>
    <t>Steel-1</t>
  </si>
  <si>
    <t>Steel-2</t>
  </si>
  <si>
    <t>Steel-3</t>
  </si>
  <si>
    <t>Steel-4</t>
  </si>
  <si>
    <t>Steel-5</t>
  </si>
  <si>
    <t>Steel-6</t>
  </si>
  <si>
    <t>Steel-7</t>
  </si>
  <si>
    <t>Steel-8</t>
  </si>
  <si>
    <t>Steel-9</t>
  </si>
  <si>
    <t>Steel-10</t>
  </si>
  <si>
    <t>Cashway Lumber</t>
  </si>
  <si>
    <t>Marshalltown, IA</t>
  </si>
  <si>
    <t>Blue Island Lumber</t>
  </si>
  <si>
    <t>Malkov Lumber</t>
  </si>
  <si>
    <t>Wolohan Lumber</t>
  </si>
  <si>
    <t>Mucie, IN</t>
  </si>
  <si>
    <t>Pitch Tanks</t>
  </si>
  <si>
    <t>CN Open Hoppers</t>
  </si>
  <si>
    <t>Kirkland Lake, ON</t>
  </si>
  <si>
    <t>Ammonium Nitrate</t>
  </si>
  <si>
    <t>Nordex Explosives</t>
  </si>
  <si>
    <t>Nordec Explosives</t>
  </si>
  <si>
    <t>Empty Car (Sulphur Dioxide)</t>
  </si>
  <si>
    <t>Sulphur Dioxide</t>
  </si>
  <si>
    <t>Emery Industries</t>
  </si>
  <si>
    <t>Santa Fe Springs, CA</t>
  </si>
  <si>
    <t>Tank4-1</t>
  </si>
  <si>
    <t>Tank4-2</t>
  </si>
  <si>
    <t>Tank4-3</t>
  </si>
  <si>
    <t>Tank4-4</t>
  </si>
  <si>
    <t>Tank4-5</t>
  </si>
  <si>
    <t>Tank4-6</t>
  </si>
  <si>
    <t>Tank4-7</t>
  </si>
  <si>
    <t>Tank4-8</t>
  </si>
  <si>
    <t>Tank4-9</t>
  </si>
  <si>
    <t>Tank4-10</t>
  </si>
  <si>
    <t>Shell Oil Co.</t>
  </si>
  <si>
    <t>Corruna, ON</t>
  </si>
  <si>
    <t>Fuel Tanks - Shell Sault</t>
  </si>
  <si>
    <t>St. Marys - Misc</t>
  </si>
  <si>
    <t>Erectors, Inc.</t>
  </si>
  <si>
    <t>St. Catharines, ON</t>
  </si>
  <si>
    <t>Domtar, Inc.</t>
  </si>
  <si>
    <t>LumberAC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</si>
</sst>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1"/>
      <color rgb="FFFD4549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D4549"/>
        <bgColor indexed="64"/>
      </patternFill>
    </fill>
    <fill>
      <patternFill patternType="solid">
        <fgColor rgb="FFE4870A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2" xfId="0" applyFont="1" applyBorder="1" applyAlignment="1">
      <alignment textRotation="90"/>
    </xf>
    <xf numFmtId="0" fontId="2" fillId="0" borderId="2" xfId="0" applyFont="1" applyBorder="1" applyAlignment="1">
      <alignment textRotation="180"/>
    </xf>
    <xf numFmtId="0" fontId="1" fillId="0" borderId="2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textRotation="90"/>
    </xf>
    <xf numFmtId="0" fontId="2" fillId="0" borderId="0" xfId="0" applyFont="1" applyBorder="1" applyAlignment="1">
      <alignment textRotation="180"/>
    </xf>
    <xf numFmtId="0" fontId="2" fillId="0" borderId="0" xfId="0" applyFont="1" applyBorder="1" applyAlignment="1">
      <alignment vertical="top" textRotation="180"/>
    </xf>
    <xf numFmtId="0" fontId="2" fillId="0" borderId="7" xfId="0" applyFont="1" applyBorder="1" applyAlignment="1">
      <alignment textRotation="90"/>
    </xf>
    <xf numFmtId="0" fontId="2" fillId="0" borderId="7" xfId="0" applyFont="1" applyBorder="1" applyAlignment="1">
      <alignment textRotation="180"/>
    </xf>
    <xf numFmtId="0" fontId="1" fillId="0" borderId="7" xfId="0" applyFont="1" applyBorder="1" applyAlignment="1">
      <alignment vertical="top" textRotation="90"/>
    </xf>
    <xf numFmtId="0" fontId="1" fillId="0" borderId="2" xfId="0" applyFont="1" applyBorder="1" applyAlignment="1">
      <alignment textRotation="180"/>
    </xf>
    <xf numFmtId="0" fontId="1" fillId="0" borderId="2" xfId="0" applyFont="1" applyFill="1" applyBorder="1" applyAlignment="1">
      <alignment textRotation="180"/>
    </xf>
    <xf numFmtId="0" fontId="1" fillId="0" borderId="7" xfId="0" applyFont="1" applyFill="1" applyBorder="1" applyAlignment="1">
      <alignment vertical="top" textRotation="90"/>
    </xf>
    <xf numFmtId="0" fontId="1" fillId="0" borderId="6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textRotation="180"/>
    </xf>
    <xf numFmtId="0" fontId="2" fillId="0" borderId="0" xfId="0" applyFont="1" applyBorder="1" applyAlignment="1">
      <alignment wrapText="1"/>
    </xf>
    <xf numFmtId="0" fontId="2" fillId="0" borderId="9" xfId="0" applyFont="1" applyBorder="1" applyAlignment="1"/>
    <xf numFmtId="0" fontId="5" fillId="0" borderId="0" xfId="0" applyFont="1"/>
    <xf numFmtId="0" fontId="6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9" fillId="8" borderId="0" xfId="0" applyFont="1" applyFill="1"/>
    <xf numFmtId="0" fontId="0" fillId="9" borderId="0" xfId="0" applyFill="1"/>
    <xf numFmtId="0" fontId="7" fillId="0" borderId="0" xfId="0" applyFont="1"/>
    <xf numFmtId="0" fontId="0" fillId="11" borderId="0" xfId="0" applyFill="1"/>
    <xf numFmtId="0" fontId="0" fillId="10" borderId="0" xfId="0" applyFill="1"/>
    <xf numFmtId="0" fontId="0" fillId="12" borderId="0" xfId="0" applyFill="1"/>
    <xf numFmtId="0" fontId="10" fillId="0" borderId="0" xfId="0" applyFont="1"/>
    <xf numFmtId="0" fontId="7" fillId="0" borderId="7" xfId="0" applyFont="1" applyBorder="1"/>
    <xf numFmtId="0" fontId="11" fillId="0" borderId="0" xfId="0" applyFont="1"/>
    <xf numFmtId="0" fontId="0" fillId="0" borderId="0" xfId="0" applyAlignment="1">
      <alignment horizontal="right"/>
    </xf>
    <xf numFmtId="0" fontId="10" fillId="0" borderId="7" xfId="0" applyFont="1" applyBorder="1"/>
    <xf numFmtId="0" fontId="10" fillId="13" borderId="0" xfId="0" applyFont="1" applyFill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2" fillId="0" borderId="0" xfId="0" applyFont="1" applyFill="1"/>
    <xf numFmtId="0" fontId="6" fillId="0" borderId="0" xfId="0" applyFont="1" applyFill="1"/>
    <xf numFmtId="0" fontId="10" fillId="0" borderId="7" xfId="0" applyFont="1" applyFill="1" applyBorder="1"/>
    <xf numFmtId="0" fontId="5" fillId="0" borderId="0" xfId="0" applyFont="1" applyFill="1"/>
    <xf numFmtId="0" fontId="14" fillId="0" borderId="0" xfId="0" applyFont="1" applyFill="1"/>
    <xf numFmtId="0" fontId="16" fillId="0" borderId="0" xfId="0" applyFont="1" applyAlignment="1">
      <alignment horizontal="right"/>
    </xf>
    <xf numFmtId="0" fontId="17" fillId="0" borderId="0" xfId="0" applyFont="1"/>
    <xf numFmtId="0" fontId="0" fillId="0" borderId="0" xfId="0" applyFill="1"/>
    <xf numFmtId="0" fontId="15" fillId="0" borderId="0" xfId="0" applyFont="1"/>
    <xf numFmtId="0" fontId="10" fillId="0" borderId="0" xfId="0" applyFont="1" applyFill="1"/>
    <xf numFmtId="0" fontId="18" fillId="0" borderId="0" xfId="0" applyFont="1"/>
    <xf numFmtId="0" fontId="18" fillId="0" borderId="0" xfId="0" applyFont="1" applyFill="1"/>
    <xf numFmtId="0" fontId="19" fillId="0" borderId="0" xfId="0" applyFont="1"/>
    <xf numFmtId="0" fontId="10" fillId="0" borderId="2" xfId="0" applyFont="1" applyBorder="1"/>
    <xf numFmtId="0" fontId="20" fillId="0" borderId="0" xfId="0" applyFont="1"/>
    <xf numFmtId="0" fontId="21" fillId="0" borderId="7" xfId="0" applyFont="1" applyBorder="1"/>
    <xf numFmtId="0" fontId="20" fillId="0" borderId="0" xfId="0" applyFont="1" applyAlignment="1">
      <alignment horizontal="right"/>
    </xf>
    <xf numFmtId="0" fontId="20" fillId="0" borderId="0" xfId="0" applyFont="1" applyFill="1"/>
    <xf numFmtId="0" fontId="0" fillId="0" borderId="0" xfId="0" applyFont="1"/>
    <xf numFmtId="0" fontId="0" fillId="0" borderId="0" xfId="0" applyFont="1" applyFill="1"/>
    <xf numFmtId="0" fontId="1" fillId="0" borderId="10" xfId="0" applyFont="1" applyFill="1" applyBorder="1" applyAlignment="1">
      <alignment horizontal="center" textRotation="90"/>
    </xf>
    <xf numFmtId="0" fontId="1" fillId="0" borderId="11" xfId="0" applyFont="1" applyFill="1" applyBorder="1" applyAlignment="1">
      <alignment horizontal="center" textRotation="90"/>
    </xf>
    <xf numFmtId="0" fontId="1" fillId="0" borderId="12" xfId="0" applyFont="1" applyFill="1" applyBorder="1" applyAlignment="1">
      <alignment horizontal="center" textRotation="90"/>
    </xf>
    <xf numFmtId="0" fontId="2" fillId="0" borderId="0" xfId="0" applyFont="1" applyBorder="1" applyAlignment="1">
      <alignment horizontal="center" vertical="top" textRotation="180"/>
    </xf>
    <xf numFmtId="0" fontId="2" fillId="0" borderId="7" xfId="0" applyFont="1" applyBorder="1" applyAlignment="1">
      <alignment horizontal="center" vertical="top" textRotation="180"/>
    </xf>
    <xf numFmtId="0" fontId="2" fillId="0" borderId="2" xfId="0" applyFont="1" applyBorder="1" applyAlignment="1">
      <alignment horizontal="center" textRotation="90"/>
    </xf>
    <xf numFmtId="0" fontId="2" fillId="0" borderId="0" xfId="0" applyFont="1" applyBorder="1" applyAlignment="1">
      <alignment horizontal="center" textRotation="90"/>
    </xf>
    <xf numFmtId="0" fontId="3" fillId="0" borderId="2" xfId="0" applyFont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 vertical="center" textRotation="180"/>
    </xf>
    <xf numFmtId="0" fontId="8" fillId="0" borderId="0" xfId="0" applyFont="1" applyBorder="1" applyAlignment="1">
      <alignment horizontal="center" vertical="center" textRotation="180"/>
    </xf>
    <xf numFmtId="0" fontId="1" fillId="0" borderId="5" xfId="0" applyFont="1" applyBorder="1" applyAlignment="1">
      <alignment horizontal="center" vertical="center" textRotation="180"/>
    </xf>
    <xf numFmtId="0" fontId="4" fillId="0" borderId="7" xfId="0" applyFont="1" applyBorder="1" applyAlignment="1">
      <alignment horizontal="center" vertical="center" textRotation="180"/>
    </xf>
    <xf numFmtId="0" fontId="4" fillId="0" borderId="8" xfId="0" applyFont="1" applyBorder="1" applyAlignment="1">
      <alignment horizontal="center" vertical="center" textRotation="180"/>
    </xf>
    <xf numFmtId="0" fontId="8" fillId="0" borderId="7" xfId="0" applyFont="1" applyBorder="1" applyAlignment="1">
      <alignment horizontal="center" vertical="center" textRotation="90"/>
    </xf>
    <xf numFmtId="0" fontId="8" fillId="0" borderId="7" xfId="0" applyFont="1" applyBorder="1" applyAlignment="1">
      <alignment horizontal="center" vertical="center" textRotation="180"/>
    </xf>
    <xf numFmtId="0" fontId="3" fillId="0" borderId="2" xfId="0" applyFont="1" applyBorder="1" applyAlignment="1">
      <alignment horizontal="center" vertical="center" textRotation="180"/>
    </xf>
    <xf numFmtId="0" fontId="3" fillId="0" borderId="0" xfId="0" applyFont="1" applyBorder="1" applyAlignment="1">
      <alignment horizontal="center" vertical="center" textRotation="180"/>
    </xf>
    <xf numFmtId="0" fontId="3" fillId="0" borderId="7" xfId="0" applyFont="1" applyBorder="1" applyAlignment="1">
      <alignment horizontal="center" vertical="center" textRotation="180"/>
    </xf>
    <xf numFmtId="0" fontId="1" fillId="0" borderId="4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right" vertical="center" textRotation="90"/>
    </xf>
    <xf numFmtId="0" fontId="4" fillId="0" borderId="2" xfId="0" applyFont="1" applyBorder="1" applyAlignment="1">
      <alignment horizontal="right" vertical="center" textRotation="90"/>
    </xf>
    <xf numFmtId="0" fontId="7" fillId="0" borderId="7" xfId="0" applyFont="1" applyBorder="1" applyAlignment="1">
      <alignment horizontal="center"/>
    </xf>
  </cellXfs>
  <cellStyles count="1">
    <cellStyle name="Normal" xfId="0" builtinId="0"/>
  </cellStyles>
  <dxfs count="34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1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-0.499984740745262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theme="1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E4870A"/>
      <color rgb="FFFD4549"/>
      <color rgb="FFC040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25"/>
  <sheetViews>
    <sheetView tabSelected="1" view="pageLayout" zoomScale="160" zoomScaleNormal="100" zoomScalePageLayoutView="160" workbookViewId="0">
      <selection activeCell="AT3" sqref="AT3"/>
    </sheetView>
  </sheetViews>
  <sheetFormatPr defaultRowHeight="11.25"/>
  <cols>
    <col min="1" max="1" width="2" style="15" customWidth="1"/>
    <col min="2" max="2" width="0.7109375" style="4" customWidth="1"/>
    <col min="3" max="8" width="2" style="4" customWidth="1"/>
    <col min="9" max="9" width="0.7109375" style="4" customWidth="1"/>
    <col min="10" max="13" width="2" style="4" customWidth="1"/>
    <col min="14" max="14" width="0.7109375" style="4" customWidth="1"/>
    <col min="15" max="20" width="2" style="4" customWidth="1"/>
    <col min="21" max="21" width="0.7109375" style="4" customWidth="1"/>
    <col min="22" max="23" width="2" style="15" customWidth="1"/>
    <col min="24" max="24" width="0.7109375" style="4" customWidth="1"/>
    <col min="25" max="30" width="2" style="4" customWidth="1"/>
    <col min="31" max="31" width="0.7109375" style="4" customWidth="1"/>
    <col min="32" max="35" width="2" style="4" customWidth="1"/>
    <col min="36" max="36" width="0.7109375" style="4" customWidth="1"/>
    <col min="37" max="42" width="2" style="4" customWidth="1"/>
    <col min="43" max="43" width="0.7109375" style="4" customWidth="1"/>
    <col min="44" max="44" width="2" style="15" customWidth="1"/>
    <col min="45" max="45" width="8.5703125" style="4" customWidth="1"/>
    <col min="46" max="46" width="11.7109375" style="4" customWidth="1"/>
    <col min="47" max="16384" width="9.140625" style="4"/>
  </cols>
  <sheetData>
    <row r="1" spans="1:46" ht="30.75" customHeight="1">
      <c r="A1" s="85">
        <v>1</v>
      </c>
      <c r="B1" s="86"/>
      <c r="C1" s="67" t="str">
        <f>IF(VLOOKUP(CONCATENATE(AT2,"-1"),Data!A:T,4,FALSE)="","",VLOOKUP(CONCATENATE(AT2,"-1"),Data!A:T,4,FALSE))</f>
        <v>Newaygo Forest Products</v>
      </c>
      <c r="D1" s="67" t="str">
        <f>IF(VLOOKUP(CONCATENATE(AT2,"-1"),Data!A:T,5,FALSE)="","",VLOOKUP(CONCATENATE(AT2,"-1"),Data!A:T,5,FALSE))</f>
        <v>Mead</v>
      </c>
      <c r="E1" s="67" t="str">
        <f>IF(VLOOKUP(CONCATENATE(AT2,"-1"),Data!A:T,6,FALSE)="","",VLOOKUP(CONCATENATE(AT2,"-1"),Data!A:T,6,FALSE))</f>
        <v/>
      </c>
      <c r="F1" s="67" t="str">
        <f>IF(VLOOKUP(CONCATENATE(AT2,"-1"),Data!A:T,7,FALSE)="","",VLOOKUP(CONCATENATE(AT2,"-1"),Data!A:T,7,FALSE))</f>
        <v/>
      </c>
      <c r="G1" s="67" t="str">
        <f>IF(VLOOKUP(CONCATENATE(AT2,"-1"),Data!A:T,8,FALSE)="","",VLOOKUP(CONCATENATE(AT2,"-1"),Data!A:T,8,FALSE))</f>
        <v>Empty Car</v>
      </c>
      <c r="H1" s="67" t="str">
        <f>IF(VLOOKUP(CONCATENATE(AT2,"-1"),Data!A:T,9,FALSE)="","",VLOOKUP(CONCATENATE(AT2,"-1"),Data!A:T,9,FALSE))</f>
        <v/>
      </c>
      <c r="I1" s="1"/>
      <c r="J1" s="69" t="str">
        <f>IF(VLOOKUP(CONCATENATE(AT2,"-1"),Data!A:T,10,FALSE)="","",VLOOKUP(CONCATENATE(AT2,"-1"),Data!A:T,10,FALSE))</f>
        <v/>
      </c>
      <c r="K1" s="72" t="str">
        <f>IF(VLOOKUP(CONCATENATE(AT2,"-1"),Data!A:T,11,FALSE)="","",VLOOKUP(CONCATENATE(AT2,"-1"),Data!A:T,11,FALSE))</f>
        <v/>
      </c>
      <c r="L1" s="74" t="str">
        <f>IF(VLOOKUP(CONCATENATE(AT2,"-1"),Data!A:T,20,FALSE)="","",VLOOKUP(CONCATENATE(AT2,"-1"),Data!A:T,20,FALSE))</f>
        <v>Remove waybill when complete</v>
      </c>
      <c r="M1" s="81" t="str">
        <f>IF(VLOOKUP(CONCATENATE(AT2,"-1"),Data!A:T,19,FALSE)="","",VLOOKUP(CONCATENATE(AT2,"-1"),Data!A:T,19,FALSE))</f>
        <v/>
      </c>
      <c r="N1" s="2"/>
      <c r="O1" s="11" t="s">
        <v>3</v>
      </c>
      <c r="P1" s="11" t="s">
        <v>2</v>
      </c>
      <c r="Q1" s="11"/>
      <c r="R1" s="11" t="s">
        <v>1</v>
      </c>
      <c r="S1" s="11"/>
      <c r="T1" s="12" t="s">
        <v>0</v>
      </c>
      <c r="U1" s="3"/>
      <c r="V1" s="16" t="str">
        <f>IF(VLOOKUP(CONCATENATE(AT2,"-1"),Data!A:T,2,FALSE)="","",VLOOKUP(CONCATENATE(AT2,"-1"),Data!A:T,2,FALSE))</f>
        <v>FB</v>
      </c>
      <c r="W1" s="85">
        <v>1</v>
      </c>
      <c r="X1" s="86"/>
      <c r="Y1" s="67" t="str">
        <f>IF(VLOOKUP(CONCATENATE(AT2,"-6"),Data!A:T,4,FALSE)="","",VLOOKUP(CONCATENATE(AT2,"-6"),Data!A:T,4,FALSE))</f>
        <v>Newaygo Forest Products</v>
      </c>
      <c r="Z1" s="67" t="str">
        <f>IF(VLOOKUP(CONCATENATE(AT2,"-6"),Data!A:T,5,FALSE)="","",VLOOKUP(CONCATENATE(AT2,"-6"),Data!A:T,5,FALSE))</f>
        <v>Mead</v>
      </c>
      <c r="AA1" s="67" t="str">
        <f>IF(VLOOKUP(CONCATENATE(AT2,"-6"),Data!A:T,6,FALSE)="","",VLOOKUP(CONCATENATE(AT2,"-6"),Data!A:T,6,FALSE))</f>
        <v/>
      </c>
      <c r="AB1" s="67" t="str">
        <f>IF(VLOOKUP(CONCATENATE(AT2,"-6"),Data!A:T,7,FALSE)="","",VLOOKUP(CONCATENATE(AT2,"-6"),Data!A:T,7,FALSE))</f>
        <v/>
      </c>
      <c r="AC1" s="67" t="str">
        <f>IF(VLOOKUP(CONCATENATE(AT2,"-6"),Data!A:T,8,FALSE)="","",VLOOKUP(CONCATENATE(AT2,"-6"),Data!A:T,8,FALSE))</f>
        <v>Empty Car</v>
      </c>
      <c r="AD1" s="67" t="str">
        <f>IF(VLOOKUP(CONCATENATE(AT2,"-6"),Data!A:T,9,FALSE)="","",VLOOKUP(CONCATENATE(AT2,"-6"),Data!A:T,9,FALSE))</f>
        <v/>
      </c>
      <c r="AE1" s="1"/>
      <c r="AF1" s="69" t="str">
        <f>IF(VLOOKUP(CONCATENATE(AT2,"-6"),Data!A:T,10,FALSE)="","",VLOOKUP(CONCATENATE(AT2,"-6"),Data!A:T,10,FALSE))</f>
        <v/>
      </c>
      <c r="AG1" s="72" t="str">
        <f>IF(VLOOKUP(CONCATENATE(AT2,"-6"),Data!A:T,11,FALSE)="","",VLOOKUP(CONCATENATE(AT2,"-6"),Data!A:T,11,FALSE))</f>
        <v/>
      </c>
      <c r="AH1" s="74" t="str">
        <f>IF(VLOOKUP(CONCATENATE(AT2,"-6"),Data!A:T,20,FALSE)="","",VLOOKUP(CONCATENATE(AT2,"-6"),Data!A:T,20,FALSE))</f>
        <v>Remove waybill when complete</v>
      </c>
      <c r="AI1" s="81" t="str">
        <f>IF(VLOOKUP(CONCATENATE(AT2,"-6"),Data!A:T,19,FALSE)="","",VLOOKUP(CONCATENATE(AT2,"-6"),Data!A:T,19,FALSE))</f>
        <v/>
      </c>
      <c r="AJ1" s="2"/>
      <c r="AK1" s="11" t="s">
        <v>3</v>
      </c>
      <c r="AL1" s="11" t="s">
        <v>2</v>
      </c>
      <c r="AM1" s="11"/>
      <c r="AN1" s="11" t="s">
        <v>1</v>
      </c>
      <c r="AO1" s="11"/>
      <c r="AP1" s="12" t="s">
        <v>0</v>
      </c>
      <c r="AQ1" s="3"/>
      <c r="AR1" s="16" t="str">
        <f>IF(VLOOKUP(CONCATENATE(AT2,"-6"),Data!A:T,2,FALSE)="","",VLOOKUP(CONCATENATE(AT2,"-6"),Data!A:T,2,FALSE))</f>
        <v>FB</v>
      </c>
      <c r="AT1" s="17" t="s">
        <v>147</v>
      </c>
    </row>
    <row r="2" spans="1:46" ht="11.25" customHeight="1">
      <c r="A2" s="84" t="str">
        <f>IF(VLOOKUP(CONCATENATE(AT2,"-1"),Data!A:T,3,FALSE)="","",VLOOKUP(CONCATENATE(AT2,"-1"),Data!A:T,3,FALSE))</f>
        <v>MEAD</v>
      </c>
      <c r="B2" s="62"/>
      <c r="C2" s="68"/>
      <c r="D2" s="68"/>
      <c r="E2" s="68"/>
      <c r="F2" s="68"/>
      <c r="G2" s="68"/>
      <c r="H2" s="68"/>
      <c r="I2" s="5"/>
      <c r="J2" s="70"/>
      <c r="K2" s="73"/>
      <c r="L2" s="75"/>
      <c r="M2" s="82"/>
      <c r="N2" s="6"/>
      <c r="O2" s="65" t="str">
        <f>IF(VLOOKUP(CONCATENATE(AT2,"-1"),Data!A:T,18,FALSE)="","",VLOOKUP(CONCATENATE(AT2,"-1"),Data!A:T,18,FALSE))</f>
        <v>AC-SOO</v>
      </c>
      <c r="P2" s="65" t="str">
        <f>IF(VLOOKUP(CONCATENATE(AT2,"-1"),Data!A:T,17,FALSE)="","",VLOOKUP(CONCATENATE(AT2,"-1"),Data!A:T,17,FALSE))</f>
        <v>Lumber</v>
      </c>
      <c r="Q2" s="65" t="str">
        <f>IF(VLOOKUP(CONCATENATE(AT2,"-1"),Data!A:T,16,FALSE)="","",VLOOKUP(CONCATENATE(AT2,"-1"),Data!A:T,16,FALSE))</f>
        <v>Mead</v>
      </c>
      <c r="R2" s="65" t="str">
        <f>IF(VLOOKUP(CONCATENATE(AT2,"-1"),Data!A:T,15,FALSE)="","",VLOOKUP(CONCATENATE(AT2,"-1"),Data!A:T,15,FALSE))</f>
        <v>Newaygo Forest Products</v>
      </c>
      <c r="S2" s="65" t="str">
        <f>IF(VLOOKUP(CONCATENATE(AT2,"-1"),Data!A:T,14,FALSE)="","",VLOOKUP(CONCATENATE(AT2,"-1"),Data!A:T,14,FALSE))</f>
        <v>Sault Ste. Marie</v>
      </c>
      <c r="T2" s="65" t="str">
        <f>IF(VLOOKUP(CONCATENATE(AT2,"-1"),Data!A:T,13,FALSE)="","",VLOOKUP(CONCATENATE(AT2,"-1"),Data!A:T,13,FALSE))</f>
        <v>Team Track</v>
      </c>
      <c r="U2" s="62"/>
      <c r="V2" s="76" t="str">
        <f>IF(VLOOKUP(CONCATENATE(AT2,"-1"),Data!A:T,12,FALSE)="","",VLOOKUP(CONCATENATE(AT2,"-1"),Data!A:T,12,FALSE))</f>
        <v>SAULT</v>
      </c>
      <c r="W2" s="84" t="str">
        <f>IF(VLOOKUP(CONCATENATE(AT2,"-6"),Data!A:T,3,FALSE)="","",VLOOKUP(CONCATENATE(AT2,"-6"),Data!A:T,3,FALSE))</f>
        <v>MEAD</v>
      </c>
      <c r="X2" s="62"/>
      <c r="Y2" s="68"/>
      <c r="Z2" s="68"/>
      <c r="AA2" s="68"/>
      <c r="AB2" s="68"/>
      <c r="AC2" s="68"/>
      <c r="AD2" s="68"/>
      <c r="AE2" s="5"/>
      <c r="AF2" s="70"/>
      <c r="AG2" s="73"/>
      <c r="AH2" s="75"/>
      <c r="AI2" s="82"/>
      <c r="AJ2" s="6"/>
      <c r="AK2" s="65" t="str">
        <f>IF(VLOOKUP(CONCATENATE(AT2,"-6"),Data!A:T,18,FALSE)="","",VLOOKUP(CONCATENATE(AT2,"-6"),Data!A:T,18,FALSE))</f>
        <v>AC-CN (Oba)</v>
      </c>
      <c r="AL2" s="65" t="str">
        <f>IF(VLOOKUP(CONCATENATE(AT2,"-6"),Data!A:T,17,FALSE)="","",VLOOKUP(CONCATENATE(AT2,"-6"),Data!A:T,17,FALSE))</f>
        <v>Lumber</v>
      </c>
      <c r="AM2" s="65" t="str">
        <f>IF(VLOOKUP(CONCATENATE(AT2,"-6"),Data!A:T,16,FALSE)="","",VLOOKUP(CONCATENATE(AT2,"-6"),Data!A:T,16,FALSE))</f>
        <v>Mead</v>
      </c>
      <c r="AN2" s="65" t="str">
        <f>IF(VLOOKUP(CONCATENATE(AT2,"-6"),Data!A:T,15,FALSE)="","",VLOOKUP(CONCATENATE(AT2,"-6"),Data!A:T,15,FALSE))</f>
        <v>Newaygo Forest Products</v>
      </c>
      <c r="AO2" s="65" t="str">
        <f>IF(VLOOKUP(CONCATENATE(AT2,"-6"),Data!A:T,14,FALSE)="","",VLOOKUP(CONCATENATE(AT2,"-6"),Data!A:T,14,FALSE))</f>
        <v>Summit, NJ</v>
      </c>
      <c r="AP2" s="65" t="str">
        <f>IF(VLOOKUP(CONCATENATE(AT2,"-6"),Data!A:T,13,FALSE)="","",VLOOKUP(CONCATENATE(AT2,"-6"),Data!A:T,13,FALSE))</f>
        <v>Stevens Miller Lumber</v>
      </c>
      <c r="AQ2" s="62"/>
      <c r="AR2" s="76" t="str">
        <f>IF(VLOOKUP(CONCATENATE(AT2,"-6"),Data!A:T,12,FALSE)="","",VLOOKUP(CONCATENATE(AT2,"-6"),Data!A:T,12,FALSE))</f>
        <v>OBA</v>
      </c>
      <c r="AT2" s="18" t="s">
        <v>1026</v>
      </c>
    </row>
    <row r="3" spans="1:46" ht="55.5" customHeight="1">
      <c r="A3" s="84"/>
      <c r="B3" s="63"/>
      <c r="C3" s="68"/>
      <c r="D3" s="68"/>
      <c r="E3" s="68"/>
      <c r="F3" s="68"/>
      <c r="G3" s="68"/>
      <c r="H3" s="68"/>
      <c r="I3" s="5"/>
      <c r="J3" s="70"/>
      <c r="K3" s="73"/>
      <c r="L3" s="75"/>
      <c r="M3" s="82"/>
      <c r="N3" s="7"/>
      <c r="O3" s="65"/>
      <c r="P3" s="65"/>
      <c r="Q3" s="65"/>
      <c r="R3" s="65"/>
      <c r="S3" s="65"/>
      <c r="T3" s="65"/>
      <c r="U3" s="63"/>
      <c r="V3" s="76"/>
      <c r="W3" s="84"/>
      <c r="X3" s="63"/>
      <c r="Y3" s="68"/>
      <c r="Z3" s="68"/>
      <c r="AA3" s="68"/>
      <c r="AB3" s="68"/>
      <c r="AC3" s="68"/>
      <c r="AD3" s="68"/>
      <c r="AE3" s="5"/>
      <c r="AF3" s="70"/>
      <c r="AG3" s="73"/>
      <c r="AH3" s="75"/>
      <c r="AI3" s="82"/>
      <c r="AJ3" s="7"/>
      <c r="AK3" s="65"/>
      <c r="AL3" s="65"/>
      <c r="AM3" s="65"/>
      <c r="AN3" s="65"/>
      <c r="AO3" s="65"/>
      <c r="AP3" s="65"/>
      <c r="AQ3" s="63"/>
      <c r="AR3" s="76"/>
    </row>
    <row r="4" spans="1:46" ht="11.25" customHeight="1">
      <c r="A4" s="84"/>
      <c r="B4" s="64"/>
      <c r="C4" s="68"/>
      <c r="D4" s="68"/>
      <c r="E4" s="68"/>
      <c r="F4" s="68"/>
      <c r="G4" s="68"/>
      <c r="H4" s="68"/>
      <c r="I4" s="5"/>
      <c r="J4" s="70"/>
      <c r="K4" s="73"/>
      <c r="L4" s="75"/>
      <c r="M4" s="82"/>
      <c r="N4" s="6"/>
      <c r="O4" s="65"/>
      <c r="P4" s="65"/>
      <c r="Q4" s="65"/>
      <c r="R4" s="65"/>
      <c r="S4" s="65"/>
      <c r="T4" s="65"/>
      <c r="U4" s="64"/>
      <c r="V4" s="76"/>
      <c r="W4" s="84"/>
      <c r="X4" s="64"/>
      <c r="Y4" s="68"/>
      <c r="Z4" s="68"/>
      <c r="AA4" s="68"/>
      <c r="AB4" s="68"/>
      <c r="AC4" s="68"/>
      <c r="AD4" s="68"/>
      <c r="AE4" s="5"/>
      <c r="AF4" s="70"/>
      <c r="AG4" s="73"/>
      <c r="AH4" s="75"/>
      <c r="AI4" s="82"/>
      <c r="AJ4" s="6"/>
      <c r="AK4" s="65"/>
      <c r="AL4" s="65"/>
      <c r="AM4" s="65"/>
      <c r="AN4" s="65"/>
      <c r="AO4" s="65"/>
      <c r="AP4" s="65"/>
      <c r="AQ4" s="64"/>
      <c r="AR4" s="76"/>
    </row>
    <row r="5" spans="1:46" ht="30.75" customHeight="1">
      <c r="A5" s="14" t="str">
        <f>IF(VLOOKUP(CONCATENATE(AT2,"-1"),Data!A:T,2,FALSE)="","",VLOOKUP(CONCATENATE(AT2,"-1"),Data!A:T,2,FALSE))</f>
        <v>FB</v>
      </c>
      <c r="B5" s="10"/>
      <c r="C5" s="10" t="s">
        <v>0</v>
      </c>
      <c r="D5" s="10"/>
      <c r="E5" s="10" t="s">
        <v>1</v>
      </c>
      <c r="F5" s="10"/>
      <c r="G5" s="10" t="s">
        <v>2</v>
      </c>
      <c r="H5" s="13" t="s">
        <v>3</v>
      </c>
      <c r="I5" s="8"/>
      <c r="J5" s="70"/>
      <c r="K5" s="73"/>
      <c r="L5" s="75"/>
      <c r="M5" s="83"/>
      <c r="N5" s="9"/>
      <c r="O5" s="66"/>
      <c r="P5" s="66"/>
      <c r="Q5" s="66"/>
      <c r="R5" s="66"/>
      <c r="S5" s="66"/>
      <c r="T5" s="66"/>
      <c r="U5" s="77">
        <v>2</v>
      </c>
      <c r="V5" s="78"/>
      <c r="W5" s="14" t="str">
        <f>IF(VLOOKUP(CONCATENATE(AT2,"-6"),Data!A:T,2,FALSE)="","",VLOOKUP(CONCATENATE(AT2,"-6"),Data!A:T,2,FALSE))</f>
        <v>FB</v>
      </c>
      <c r="X5" s="10"/>
      <c r="Y5" s="10" t="s">
        <v>0</v>
      </c>
      <c r="Z5" s="10"/>
      <c r="AA5" s="10" t="s">
        <v>1</v>
      </c>
      <c r="AB5" s="10"/>
      <c r="AC5" s="10" t="s">
        <v>2</v>
      </c>
      <c r="AD5" s="13" t="s">
        <v>3</v>
      </c>
      <c r="AE5" s="8"/>
      <c r="AF5" s="71"/>
      <c r="AG5" s="73"/>
      <c r="AH5" s="75"/>
      <c r="AI5" s="83"/>
      <c r="AJ5" s="9"/>
      <c r="AK5" s="66"/>
      <c r="AL5" s="66"/>
      <c r="AM5" s="66"/>
      <c r="AN5" s="66"/>
      <c r="AO5" s="66"/>
      <c r="AP5" s="66"/>
      <c r="AQ5" s="77">
        <v>2</v>
      </c>
      <c r="AR5" s="78"/>
    </row>
    <row r="6" spans="1:46" ht="30.75" customHeight="1">
      <c r="A6" s="85">
        <v>1</v>
      </c>
      <c r="B6" s="86"/>
      <c r="C6" s="67" t="str">
        <f>IF(VLOOKUP(CONCATENATE(AT2,"-2"),Data!A:T,4,FALSE)="","",VLOOKUP(CONCATENATE(AT2,"-2"),Data!A:T,4,FALSE))</f>
        <v>Newaygo Forest Products</v>
      </c>
      <c r="D6" s="67" t="str">
        <f>IF(VLOOKUP(CONCATENATE(AT2,"-2"),Data!A:T,5,FALSE)="","",VLOOKUP(CONCATENATE(AT2,"-2"),Data!A:T,5,FALSE))</f>
        <v>Mead</v>
      </c>
      <c r="E6" s="67" t="str">
        <f>IF(VLOOKUP(CONCATENATE(AT2,"-2"),Data!A:T,6,FALSE)="","",VLOOKUP(CONCATENATE(AT2,"-2"),Data!A:T,6,FALSE))</f>
        <v/>
      </c>
      <c r="F6" s="67" t="str">
        <f>IF(VLOOKUP(CONCATENATE(AT2,"-2"),Data!A:T,7,FALSE)="","",VLOOKUP(CONCATENATE(AT2,"-2"),Data!A:T,7,FALSE))</f>
        <v/>
      </c>
      <c r="G6" s="67" t="str">
        <f>IF(VLOOKUP(CONCATENATE(AT2,"-2"),Data!A:T,8,FALSE)="","",VLOOKUP(CONCATENATE(AT2,"-2"),Data!A:T,8,FALSE))</f>
        <v>Empty Car</v>
      </c>
      <c r="H6" s="67" t="str">
        <f>IF(VLOOKUP(CONCATENATE(AT2,"-2"),Data!A:T,9,FALSE)="","",VLOOKUP(CONCATENATE(AT2,"-2"),Data!A:T,9,FALSE))</f>
        <v/>
      </c>
      <c r="I6" s="1"/>
      <c r="J6" s="69" t="str">
        <f>IF(VLOOKUP(CONCATENATE(AT2,"-2"),Data!A:T,10,FALSE)="","",VLOOKUP(CONCATENATE(AT2,"-2"),Data!A:T,10,FALSE))</f>
        <v/>
      </c>
      <c r="K6" s="72" t="str">
        <f>IF(VLOOKUP(CONCATENATE(AT2,"-2"),Data!A:T,11,FALSE)="","",VLOOKUP(CONCATENATE(AT2,"-2"),Data!A:T,11,FALSE))</f>
        <v/>
      </c>
      <c r="L6" s="74" t="str">
        <f>IF(VLOOKUP(CONCATENATE(AT2,"-2"),Data!A:T,20,FALSE)="","",VLOOKUP(CONCATENATE(AT2,"-2"),Data!A:T,20,FALSE))</f>
        <v>Remove waybill when complete</v>
      </c>
      <c r="M6" s="81" t="str">
        <f>IF(VLOOKUP(CONCATENATE(AT2,"-2"),Data!A:T,19,FALSE)="","",VLOOKUP(CONCATENATE(AT2,"-2"),Data!A:T,19,FALSE))</f>
        <v/>
      </c>
      <c r="N6" s="2"/>
      <c r="O6" s="11" t="s">
        <v>3</v>
      </c>
      <c r="P6" s="11" t="s">
        <v>2</v>
      </c>
      <c r="Q6" s="11"/>
      <c r="R6" s="11" t="s">
        <v>1</v>
      </c>
      <c r="S6" s="11"/>
      <c r="T6" s="12" t="s">
        <v>0</v>
      </c>
      <c r="U6" s="3"/>
      <c r="V6" s="16" t="str">
        <f>IF(VLOOKUP(CONCATENATE(AT2,"-2"),Data!A:T,2,FALSE)="","",VLOOKUP(CONCATENATE(AT2,"-2"),Data!A:T,2,FALSE))</f>
        <v>FB</v>
      </c>
      <c r="W6" s="85">
        <v>1</v>
      </c>
      <c r="X6" s="86"/>
      <c r="Y6" s="67" t="str">
        <f>IF(VLOOKUP(CONCATENATE(AT2,"-7"),Data!A:T,4,FALSE)="","",VLOOKUP(CONCATENATE(AT2,"-7"),Data!A:T,4,FALSE))</f>
        <v>Newaygo Forest Products</v>
      </c>
      <c r="Z6" s="67" t="str">
        <f>IF(VLOOKUP(CONCATENATE(AT2,"-7"),Data!A:T,5,FALSE)="","",VLOOKUP(CONCATENATE(AT2,"-7"),Data!A:T,5,FALSE))</f>
        <v>Mead</v>
      </c>
      <c r="AA6" s="67" t="str">
        <f>IF(VLOOKUP(CONCATENATE(AT2,"-7"),Data!A:T,6,FALSE)="","",VLOOKUP(CONCATENATE(AT2,"-7"),Data!A:T,6,FALSE))</f>
        <v/>
      </c>
      <c r="AB6" s="67" t="str">
        <f>IF(VLOOKUP(CONCATENATE(AT2,"-7"),Data!A:T,7,FALSE)="","",VLOOKUP(CONCATENATE(AT2,"-7"),Data!A:T,7,FALSE))</f>
        <v/>
      </c>
      <c r="AC6" s="67" t="str">
        <f>IF(VLOOKUP(CONCATENATE(AT2,"-7"),Data!A:T,8,FALSE)="","",VLOOKUP(CONCATENATE(AT2,"-7"),Data!A:T,8,FALSE))</f>
        <v>Empty Car</v>
      </c>
      <c r="AD6" s="67" t="str">
        <f>IF(VLOOKUP(CONCATENATE(AT2,"-7"),Data!A:T,9,FALSE)="","",VLOOKUP(CONCATENATE(AT2,"-7"),Data!A:T,9,FALSE))</f>
        <v/>
      </c>
      <c r="AE6" s="1"/>
      <c r="AF6" s="69" t="str">
        <f>IF(VLOOKUP(CONCATENATE(AT2,"-7"),Data!A:T,10,FALSE)="","",VLOOKUP(CONCATENATE(AT2,"-7"),Data!A:T,10,FALSE))</f>
        <v/>
      </c>
      <c r="AG6" s="72" t="str">
        <f>IF(VLOOKUP(CONCATENATE(AT2,"-7"),Data!A:T,11,FALSE)="","",VLOOKUP(CONCATENATE(AT2,"-7"),Data!A:T,11,FALSE))</f>
        <v/>
      </c>
      <c r="AH6" s="74" t="str">
        <f>IF(VLOOKUP(CONCATENATE(AT2,"-7"),Data!A:T,20,FALSE)="","",VLOOKUP(CONCATENATE(AT2,"-7"),Data!A:T,20,FALSE))</f>
        <v>Remove waybill when complete</v>
      </c>
      <c r="AI6" s="81" t="str">
        <f>IF(VLOOKUP(CONCATENATE(AT2,"-7"),Data!A:T,19,FALSE)="","",VLOOKUP(CONCATENATE(AT2,"-7"),Data!A:T,19,FALSE))</f>
        <v/>
      </c>
      <c r="AJ6" s="2"/>
      <c r="AK6" s="11" t="s">
        <v>3</v>
      </c>
      <c r="AL6" s="11" t="s">
        <v>2</v>
      </c>
      <c r="AM6" s="11"/>
      <c r="AN6" s="11" t="s">
        <v>1</v>
      </c>
      <c r="AO6" s="11"/>
      <c r="AP6" s="12" t="s">
        <v>0</v>
      </c>
      <c r="AQ6" s="3"/>
      <c r="AR6" s="16" t="str">
        <f>IF(VLOOKUP(CONCATENATE(AT2,"-7"),Data!A:T,2,FALSE)="","",VLOOKUP(CONCATENATE(AT2,"-7"),Data!A:T,2,FALSE))</f>
        <v>FB</v>
      </c>
    </row>
    <row r="7" spans="1:46" ht="11.25" customHeight="1">
      <c r="A7" s="84" t="str">
        <f>IF(VLOOKUP(CONCATENATE(AT2,"-2"),Data!A:T,3,FALSE)="","",VLOOKUP(CONCATENATE(AT2,"-2"),Data!A:T,3,FALSE))</f>
        <v>MEAD</v>
      </c>
      <c r="B7" s="62"/>
      <c r="C7" s="68"/>
      <c r="D7" s="68"/>
      <c r="E7" s="68"/>
      <c r="F7" s="68"/>
      <c r="G7" s="68"/>
      <c r="H7" s="68"/>
      <c r="I7" s="5"/>
      <c r="J7" s="70"/>
      <c r="K7" s="73"/>
      <c r="L7" s="75"/>
      <c r="M7" s="82"/>
      <c r="N7" s="6"/>
      <c r="O7" s="65" t="str">
        <f>IF(VLOOKUP(CONCATENATE(AT2,"-2"),Data!A:T,18,FALSE)="","",VLOOKUP(CONCATENATE(AT2,"-2"),Data!A:T,18,FALSE))</f>
        <v>AC-SOO</v>
      </c>
      <c r="P7" s="65" t="str">
        <f>IF(VLOOKUP(CONCATENATE(AT2,"-2"),Data!A:T,17,FALSE)="","",VLOOKUP(CONCATENATE(AT2,"-2"),Data!A:T,17,FALSE))</f>
        <v>Lumber</v>
      </c>
      <c r="Q7" s="65" t="str">
        <f>IF(VLOOKUP(CONCATENATE(AT2,"-2"),Data!A:T,16,FALSE)="","",VLOOKUP(CONCATENATE(AT2,"-2"),Data!A:T,16,FALSE))</f>
        <v>Mead</v>
      </c>
      <c r="R7" s="65" t="str">
        <f>IF(VLOOKUP(CONCATENATE(AT2,"-2"),Data!A:T,15,FALSE)="","",VLOOKUP(CONCATENATE(AT2,"-2"),Data!A:T,15,FALSE))</f>
        <v>Newaygo Forest Products</v>
      </c>
      <c r="S7" s="65" t="str">
        <f>IF(VLOOKUP(CONCATENATE(AT2,"-2"),Data!A:T,14,FALSE)="","",VLOOKUP(CONCATENATE(AT2,"-2"),Data!A:T,14,FALSE))</f>
        <v>Mancelona, MI</v>
      </c>
      <c r="T7" s="65" t="str">
        <f>IF(VLOOKUP(CONCATENATE(AT2,"-2"),Data!A:T,13,FALSE)="","",VLOOKUP(CONCATENATE(AT2,"-2"),Data!A:T,13,FALSE))</f>
        <v>Boyne County Homes</v>
      </c>
      <c r="U7" s="62"/>
      <c r="V7" s="76" t="str">
        <f>IF(VLOOKUP(CONCATENATE(AT2,"-2"),Data!A:T,12,FALSE)="","",VLOOKUP(CONCATENATE(AT2,"-2"),Data!A:T,12,FALSE))</f>
        <v>SAULT</v>
      </c>
      <c r="W7" s="84" t="str">
        <f>IF(VLOOKUP(CONCATENATE(AT2,"-7"),Data!A:T,3,FALSE)="","",VLOOKUP(CONCATENATE(AT2,"-7"),Data!A:T,3,FALSE))</f>
        <v>MEAD</v>
      </c>
      <c r="X7" s="62"/>
      <c r="Y7" s="68"/>
      <c r="Z7" s="68"/>
      <c r="AA7" s="68"/>
      <c r="AB7" s="68"/>
      <c r="AC7" s="68"/>
      <c r="AD7" s="68"/>
      <c r="AE7" s="5"/>
      <c r="AF7" s="70"/>
      <c r="AG7" s="73"/>
      <c r="AH7" s="75"/>
      <c r="AI7" s="82"/>
      <c r="AJ7" s="6"/>
      <c r="AK7" s="65" t="str">
        <f>IF(VLOOKUP(CONCATENATE(AT2,"-7"),Data!A:T,18,FALSE)="","",VLOOKUP(CONCATENATE(AT2,"-7"),Data!A:T,18,FALSE))</f>
        <v>AC-CN (Oba)</v>
      </c>
      <c r="AL7" s="65" t="str">
        <f>IF(VLOOKUP(CONCATENATE(AT2,"-7"),Data!A:T,17,FALSE)="","",VLOOKUP(CONCATENATE(AT2,"-7"),Data!A:T,17,FALSE))</f>
        <v>Lumber</v>
      </c>
      <c r="AM7" s="65" t="str">
        <f>IF(VLOOKUP(CONCATENATE(AT2,"-7"),Data!A:T,16,FALSE)="","",VLOOKUP(CONCATENATE(AT2,"-7"),Data!A:T,16,FALSE))</f>
        <v>Mead</v>
      </c>
      <c r="AN7" s="65" t="str">
        <f>IF(VLOOKUP(CONCATENATE(AT2,"-7"),Data!A:T,15,FALSE)="","",VLOOKUP(CONCATENATE(AT2,"-7"),Data!A:T,15,FALSE))</f>
        <v>Newaygo Forest Products</v>
      </c>
      <c r="AO7" s="65" t="str">
        <f>IF(VLOOKUP(CONCATENATE(AT2,"-7"),Data!A:T,14,FALSE)="","",VLOOKUP(CONCATENATE(AT2,"-7"),Data!A:T,14,FALSE))</f>
        <v>Ambridge, PA</v>
      </c>
      <c r="AP7" s="65" t="str">
        <f>IF(VLOOKUP(CONCATENATE(AT2,"-7"),Data!A:T,13,FALSE)="","",VLOOKUP(CONCATENATE(AT2,"-7"),Data!A:T,13,FALSE))</f>
        <v>84 Lumber</v>
      </c>
      <c r="AQ7" s="62"/>
      <c r="AR7" s="76" t="str">
        <f>IF(VLOOKUP(CONCATENATE(AT2,"-7"),Data!A:T,12,FALSE)="","",VLOOKUP(CONCATENATE(AT2,"-7"),Data!A:T,12,FALSE))</f>
        <v>OBA</v>
      </c>
    </row>
    <row r="8" spans="1:46" ht="55.5" customHeight="1">
      <c r="A8" s="84"/>
      <c r="B8" s="63"/>
      <c r="C8" s="68"/>
      <c r="D8" s="68"/>
      <c r="E8" s="68"/>
      <c r="F8" s="68"/>
      <c r="G8" s="68"/>
      <c r="H8" s="68"/>
      <c r="I8" s="5"/>
      <c r="J8" s="70"/>
      <c r="K8" s="73"/>
      <c r="L8" s="75"/>
      <c r="M8" s="82"/>
      <c r="N8" s="7"/>
      <c r="O8" s="65"/>
      <c r="P8" s="65"/>
      <c r="Q8" s="65"/>
      <c r="R8" s="65"/>
      <c r="S8" s="65"/>
      <c r="T8" s="65"/>
      <c r="U8" s="63"/>
      <c r="V8" s="76"/>
      <c r="W8" s="84"/>
      <c r="X8" s="63"/>
      <c r="Y8" s="68"/>
      <c r="Z8" s="68"/>
      <c r="AA8" s="68"/>
      <c r="AB8" s="68"/>
      <c r="AC8" s="68"/>
      <c r="AD8" s="68"/>
      <c r="AE8" s="5"/>
      <c r="AF8" s="70"/>
      <c r="AG8" s="73"/>
      <c r="AH8" s="75"/>
      <c r="AI8" s="82"/>
      <c r="AJ8" s="7"/>
      <c r="AK8" s="65"/>
      <c r="AL8" s="65"/>
      <c r="AM8" s="65"/>
      <c r="AN8" s="65"/>
      <c r="AO8" s="65"/>
      <c r="AP8" s="65"/>
      <c r="AQ8" s="63"/>
      <c r="AR8" s="76"/>
    </row>
    <row r="9" spans="1:46">
      <c r="A9" s="84"/>
      <c r="B9" s="64"/>
      <c r="C9" s="68"/>
      <c r="D9" s="68"/>
      <c r="E9" s="68"/>
      <c r="F9" s="68"/>
      <c r="G9" s="68"/>
      <c r="H9" s="68"/>
      <c r="I9" s="5"/>
      <c r="J9" s="70"/>
      <c r="K9" s="73"/>
      <c r="L9" s="75"/>
      <c r="M9" s="82"/>
      <c r="N9" s="6"/>
      <c r="O9" s="65"/>
      <c r="P9" s="65"/>
      <c r="Q9" s="65"/>
      <c r="R9" s="65"/>
      <c r="S9" s="65"/>
      <c r="T9" s="65"/>
      <c r="U9" s="64"/>
      <c r="V9" s="76"/>
      <c r="W9" s="84"/>
      <c r="X9" s="64"/>
      <c r="Y9" s="68"/>
      <c r="Z9" s="68"/>
      <c r="AA9" s="68"/>
      <c r="AB9" s="68"/>
      <c r="AC9" s="68"/>
      <c r="AD9" s="68"/>
      <c r="AE9" s="5"/>
      <c r="AF9" s="70"/>
      <c r="AG9" s="73"/>
      <c r="AH9" s="75"/>
      <c r="AI9" s="82"/>
      <c r="AJ9" s="6"/>
      <c r="AK9" s="65"/>
      <c r="AL9" s="65"/>
      <c r="AM9" s="65"/>
      <c r="AN9" s="65"/>
      <c r="AO9" s="65"/>
      <c r="AP9" s="65"/>
      <c r="AQ9" s="64"/>
      <c r="AR9" s="76"/>
    </row>
    <row r="10" spans="1:46" ht="30">
      <c r="A10" s="14" t="str">
        <f>IF(VLOOKUP(CONCATENATE(AT2,"-2"),Data!A:T,2,FALSE)="","",VLOOKUP(CONCATENATE(AT2,"-2"),Data!A:T,2,FALSE))</f>
        <v>FB</v>
      </c>
      <c r="B10" s="10"/>
      <c r="C10" s="10" t="s">
        <v>0</v>
      </c>
      <c r="D10" s="10"/>
      <c r="E10" s="10" t="s">
        <v>1</v>
      </c>
      <c r="F10" s="10"/>
      <c r="G10" s="10" t="s">
        <v>2</v>
      </c>
      <c r="H10" s="13" t="s">
        <v>3</v>
      </c>
      <c r="I10" s="8"/>
      <c r="J10" s="71"/>
      <c r="K10" s="73"/>
      <c r="L10" s="75"/>
      <c r="M10" s="83"/>
      <c r="N10" s="9"/>
      <c r="O10" s="66"/>
      <c r="P10" s="66"/>
      <c r="Q10" s="66"/>
      <c r="R10" s="66"/>
      <c r="S10" s="66"/>
      <c r="T10" s="66"/>
      <c r="U10" s="77">
        <v>2</v>
      </c>
      <c r="V10" s="78"/>
      <c r="W10" s="14" t="str">
        <f>IF(VLOOKUP(CONCATENATE(AT2,"-7"),Data!A:T,2,FALSE)="","",VLOOKUP(CONCATENATE(AT2,"-7"),Data!A:T,2,FALSE))</f>
        <v>FB</v>
      </c>
      <c r="X10" s="10"/>
      <c r="Y10" s="10" t="s">
        <v>0</v>
      </c>
      <c r="Z10" s="10"/>
      <c r="AA10" s="10" t="s">
        <v>1</v>
      </c>
      <c r="AB10" s="10"/>
      <c r="AC10" s="10" t="s">
        <v>2</v>
      </c>
      <c r="AD10" s="13" t="s">
        <v>3</v>
      </c>
      <c r="AE10" s="8"/>
      <c r="AF10" s="71"/>
      <c r="AG10" s="79"/>
      <c r="AH10" s="80"/>
      <c r="AI10" s="83"/>
      <c r="AJ10" s="9"/>
      <c r="AK10" s="66"/>
      <c r="AL10" s="66"/>
      <c r="AM10" s="66"/>
      <c r="AN10" s="66"/>
      <c r="AO10" s="66"/>
      <c r="AP10" s="66"/>
      <c r="AQ10" s="77">
        <v>2</v>
      </c>
      <c r="AR10" s="78"/>
    </row>
    <row r="11" spans="1:46" ht="30.75" customHeight="1">
      <c r="A11" s="85">
        <v>1</v>
      </c>
      <c r="B11" s="86"/>
      <c r="C11" s="67" t="str">
        <f>IF(VLOOKUP(CONCATENATE(AT2,"-3"),Data!A:T,4,FALSE)="","",VLOOKUP(CONCATENATE(AT2,"-3"),Data!A:T,4,FALSE))</f>
        <v>Newaygo Forest Products</v>
      </c>
      <c r="D11" s="67" t="str">
        <f>IF(VLOOKUP(CONCATENATE(AT2,"-3"),Data!A:T,5,FALSE)="","",VLOOKUP(CONCATENATE(AT2,"-3"),Data!A:T,5,FALSE))</f>
        <v>Mead</v>
      </c>
      <c r="E11" s="67" t="str">
        <f>IF(VLOOKUP(CONCATENATE(AT2,"-3"),Data!A:T,6,FALSE)="","",VLOOKUP(CONCATENATE(AT2,"-3"),Data!A:T,6,FALSE))</f>
        <v/>
      </c>
      <c r="F11" s="67" t="str">
        <f>IF(VLOOKUP(CONCATENATE(AT2,"-3"),Data!A:T,7,FALSE)="","",VLOOKUP(CONCATENATE(AT2,"-3"),Data!A:T,7,FALSE))</f>
        <v/>
      </c>
      <c r="G11" s="67" t="str">
        <f>IF(VLOOKUP(CONCATENATE(AT2,"-3"),Data!A:T,8,FALSE)="","",VLOOKUP(CONCATENATE(AT2,"-3"),Data!A:T,8,FALSE))</f>
        <v>Empty Car</v>
      </c>
      <c r="H11" s="67" t="str">
        <f>IF(VLOOKUP(CONCATENATE(AT2,"-3"),Data!A:T,9,FALSE)="","",VLOOKUP(CONCATENATE(AT2,"-3"),Data!A:T,9,FALSE))</f>
        <v/>
      </c>
      <c r="I11" s="1"/>
      <c r="J11" s="69" t="str">
        <f>IF(VLOOKUP(CONCATENATE(AT2,"-3"),Data!A:T,10,FALSE)="","",VLOOKUP(CONCATENATE(AT2,"-3"),Data!A:T,10,FALSE))</f>
        <v/>
      </c>
      <c r="K11" s="72" t="str">
        <f>IF(VLOOKUP(CONCATENATE(AT2,"-3"),Data!A:T,11,FALSE)="","",VLOOKUP(CONCATENATE(AT2,"-3"),Data!A:T,11,FALSE))</f>
        <v/>
      </c>
      <c r="L11" s="74" t="str">
        <f>IF(VLOOKUP(CONCATENATE(AT2,"-3"),Data!A:T,20,FALSE)="","",VLOOKUP(CONCATENATE(AT2,"-3"),Data!A:T,20,FALSE))</f>
        <v>Remove waybill when complete</v>
      </c>
      <c r="M11" s="81" t="str">
        <f>IF(VLOOKUP(CONCATENATE(AT2,"-3"),Data!A:T,19,FALSE)="","",VLOOKUP(CONCATENATE(AT2,"-3"),Data!A:T,19,FALSE))</f>
        <v/>
      </c>
      <c r="N11" s="2"/>
      <c r="O11" s="11" t="s">
        <v>3</v>
      </c>
      <c r="P11" s="11" t="s">
        <v>2</v>
      </c>
      <c r="Q11" s="11"/>
      <c r="R11" s="11" t="s">
        <v>1</v>
      </c>
      <c r="S11" s="11"/>
      <c r="T11" s="12" t="s">
        <v>0</v>
      </c>
      <c r="U11" s="3"/>
      <c r="V11" s="16" t="str">
        <f>IF(VLOOKUP(CONCATENATE(AT2,"-3"),Data!A:T,2,FALSE)="","",VLOOKUP(CONCATENATE(AT2,"-3"),Data!A:T,2,FALSE))</f>
        <v>FB</v>
      </c>
      <c r="W11" s="85">
        <v>1</v>
      </c>
      <c r="X11" s="86"/>
      <c r="Y11" s="67" t="str">
        <f>IF(VLOOKUP(CONCATENATE(AT2,"-8"),Data!A:T,4,FALSE)="","",VLOOKUP(CONCATENATE(AT2,"-8"),Data!A:T,4,FALSE))</f>
        <v>Weyerhaeuser Canada</v>
      </c>
      <c r="Z11" s="67" t="str">
        <f>IF(VLOOKUP(CONCATENATE(AT2,"-8"),Data!A:T,5,FALSE)="","",VLOOKUP(CONCATENATE(AT2,"-8"),Data!A:T,5,FALSE))</f>
        <v>Winnipeg, MB</v>
      </c>
      <c r="AA11" s="67" t="str">
        <f>IF(VLOOKUP(CONCATENATE(AT2,"-8"),Data!A:T,6,FALSE)="","",VLOOKUP(CONCATENATE(AT2,"-8"),Data!A:T,6,FALSE))</f>
        <v>Weyerhaeuser Canada</v>
      </c>
      <c r="AB11" s="67" t="str">
        <f>IF(VLOOKUP(CONCATENATE(AT2,"-8"),Data!A:T,7,FALSE)="","",VLOOKUP(CONCATENATE(AT2,"-8"),Data!A:T,7,FALSE))</f>
        <v>Sault Ste. Marie, ON</v>
      </c>
      <c r="AC11" s="67" t="str">
        <f>IF(VLOOKUP(CONCATENATE(AT2,"-8"),Data!A:T,8,FALSE)="","",VLOOKUP(CONCATENATE(AT2,"-8"),Data!A:T,8,FALSE))</f>
        <v>Lumber</v>
      </c>
      <c r="AD11" s="67" t="str">
        <f>IF(VLOOKUP(CONCATENATE(AT2,"-8"),Data!A:T,9,FALSE)="","",VLOOKUP(CONCATENATE(AT2,"-8"),Data!A:T,9,FALSE))</f>
        <v>AC-CN (Oba)</v>
      </c>
      <c r="AE11" s="1"/>
      <c r="AF11" s="69" t="str">
        <f>IF(VLOOKUP(CONCATENATE(AT2,"-8"),Data!A:T,10,FALSE)="","",VLOOKUP(CONCATENATE(AT2,"-8"),Data!A:T,10,FALSE))</f>
        <v/>
      </c>
      <c r="AG11" s="72" t="str">
        <f>IF(VLOOKUP(CONCATENATE(AT2,"-8"),Data!A:T,11,FALSE)="","",VLOOKUP(CONCATENATE(AT2,"-8"),Data!A:T,11,FALSE))</f>
        <v>Remove waybill when complete</v>
      </c>
      <c r="AH11" s="74" t="str">
        <f>IF(VLOOKUP(CONCATENATE(AT2,"-8"),Data!A:T,20,FALSE)="","",VLOOKUP(CONCATENATE(AT2,"-8"),Data!A:T,20,FALSE))</f>
        <v/>
      </c>
      <c r="AI11" s="81" t="str">
        <f>IF(VLOOKUP(CONCATENATE(AT2,"-8"),Data!A:T,19,FALSE)="","",VLOOKUP(CONCATENATE(AT2,"-8"),Data!A:T,19,FALSE))</f>
        <v/>
      </c>
      <c r="AJ11" s="2"/>
      <c r="AK11" s="11" t="s">
        <v>3</v>
      </c>
      <c r="AL11" s="11" t="s">
        <v>2</v>
      </c>
      <c r="AM11" s="11"/>
      <c r="AN11" s="11" t="s">
        <v>1</v>
      </c>
      <c r="AO11" s="11"/>
      <c r="AP11" s="12" t="s">
        <v>0</v>
      </c>
      <c r="AQ11" s="3"/>
      <c r="AR11" s="16" t="str">
        <f>IF(VLOOKUP(CONCATENATE(AT2,"-8"),Data!A:T,2,FALSE)="","",VLOOKUP(CONCATENATE(AT2,"-8"),Data!A:T,2,FALSE))</f>
        <v>FB</v>
      </c>
    </row>
    <row r="12" spans="1:46" ht="11.25" customHeight="1">
      <c r="A12" s="84" t="str">
        <f>IF(VLOOKUP(CONCATENATE(AT2,"-3"),Data!A:T,3,FALSE)="","",VLOOKUP(CONCATENATE(AT2,"-3"),Data!A:T,3,FALSE))</f>
        <v>MEAD</v>
      </c>
      <c r="B12" s="62"/>
      <c r="C12" s="68"/>
      <c r="D12" s="68"/>
      <c r="E12" s="68"/>
      <c r="F12" s="68"/>
      <c r="G12" s="68"/>
      <c r="H12" s="68"/>
      <c r="I12" s="5"/>
      <c r="J12" s="70"/>
      <c r="K12" s="73"/>
      <c r="L12" s="75"/>
      <c r="M12" s="82"/>
      <c r="N12" s="6"/>
      <c r="O12" s="65" t="str">
        <f>IF(VLOOKUP(CONCATENATE(AT2,"-3"),Data!A:T,18,FALSE)="","",VLOOKUP(CONCATENATE(AT2,"-3"),Data!A:T,18,FALSE))</f>
        <v>AC-SOO</v>
      </c>
      <c r="P12" s="65" t="str">
        <f>IF(VLOOKUP(CONCATENATE(AT2,"-3"),Data!A:T,17,FALSE)="","",VLOOKUP(CONCATENATE(AT2,"-3"),Data!A:T,17,FALSE))</f>
        <v>Lumber</v>
      </c>
      <c r="Q12" s="65" t="str">
        <f>IF(VLOOKUP(CONCATENATE(AT2,"-3"),Data!A:T,16,FALSE)="","",VLOOKUP(CONCATENATE(AT2,"-3"),Data!A:T,16,FALSE))</f>
        <v>Mead</v>
      </c>
      <c r="R12" s="65" t="str">
        <f>IF(VLOOKUP(CONCATENATE(AT2,"-3"),Data!A:T,15,FALSE)="","",VLOOKUP(CONCATENATE(AT2,"-3"),Data!A:T,15,FALSE))</f>
        <v>Newaygo Forest Products</v>
      </c>
      <c r="S12" s="65" t="str">
        <f>IF(VLOOKUP(CONCATENATE(AT2,"-3"),Data!A:T,14,FALSE)="","",VLOOKUP(CONCATENATE(AT2,"-3"),Data!A:T,14,FALSE))</f>
        <v>Green Bay, WI</v>
      </c>
      <c r="T12" s="65" t="str">
        <f>IF(VLOOKUP(CONCATENATE(AT2,"-3"),Data!A:T,13,FALSE)="","",VLOOKUP(CONCATENATE(AT2,"-3"),Data!A:T,13,FALSE))</f>
        <v>Cash &amp; Carry Lumber</v>
      </c>
      <c r="U12" s="62"/>
      <c r="V12" s="76" t="str">
        <f>IF(VLOOKUP(CONCATENATE(AT2,"-3"),Data!A:T,12,FALSE)="","",VLOOKUP(CONCATENATE(AT2,"-3"),Data!A:T,12,FALSE))</f>
        <v>SAULT</v>
      </c>
      <c r="W12" s="84" t="str">
        <f>IF(VLOOKUP(CONCATENATE(AT2,"-8"),Data!A:T,3,FALSE)="","",VLOOKUP(CONCATENATE(AT2,"-8"),Data!A:T,3,FALSE))</f>
        <v>OBA</v>
      </c>
      <c r="X12" s="62"/>
      <c r="Y12" s="68"/>
      <c r="Z12" s="68"/>
      <c r="AA12" s="68"/>
      <c r="AB12" s="68"/>
      <c r="AC12" s="68"/>
      <c r="AD12" s="68"/>
      <c r="AE12" s="5"/>
      <c r="AF12" s="70"/>
      <c r="AG12" s="73"/>
      <c r="AH12" s="75"/>
      <c r="AI12" s="82"/>
      <c r="AJ12" s="6"/>
      <c r="AK12" s="65" t="str">
        <f>IF(VLOOKUP(CONCATENATE(AT2,"-8"),Data!A:T,18,FALSE)="","",VLOOKUP(CONCATENATE(AT2,"-8"),Data!A:T,18,FALSE))</f>
        <v/>
      </c>
      <c r="AL12" s="65" t="str">
        <f>IF(VLOOKUP(CONCATENATE(AT2,"-8"),Data!A:T,17,FALSE)="","",VLOOKUP(CONCATENATE(AT2,"-8"),Data!A:T,17,FALSE))</f>
        <v/>
      </c>
      <c r="AM12" s="65" t="str">
        <f>IF(VLOOKUP(CONCATENATE(AT2,"-8"),Data!A:T,16,FALSE)="","",VLOOKUP(CONCATENATE(AT2,"-8"),Data!A:T,16,FALSE))</f>
        <v/>
      </c>
      <c r="AN12" s="65" t="str">
        <f>IF(VLOOKUP(CONCATENATE(AT2,"-8"),Data!A:T,15,FALSE)="","",VLOOKUP(CONCATENATE(AT2,"-8"),Data!A:T,15,FALSE))</f>
        <v/>
      </c>
      <c r="AO12" s="65" t="str">
        <f>IF(VLOOKUP(CONCATENATE(AT2,"-8"),Data!A:T,14,FALSE)="","",VLOOKUP(CONCATENATE(AT2,"-8"),Data!A:T,14,FALSE))</f>
        <v/>
      </c>
      <c r="AP12" s="65" t="str">
        <f>IF(VLOOKUP(CONCATENATE(AT2,"-8"),Data!A:T,13,FALSE)="","",VLOOKUP(CONCATENATE(AT2,"-8"),Data!A:T,13,FALSE))</f>
        <v/>
      </c>
      <c r="AQ12" s="62"/>
      <c r="AR12" s="76" t="str">
        <f>IF(VLOOKUP(CONCATENATE(AT2,"-8"),Data!A:T,12,FALSE)="","",VLOOKUP(CONCATENATE(AT2,"-8"),Data!A:T,12,FALSE))</f>
        <v/>
      </c>
    </row>
    <row r="13" spans="1:46" ht="55.5" customHeight="1">
      <c r="A13" s="84"/>
      <c r="B13" s="63"/>
      <c r="C13" s="68"/>
      <c r="D13" s="68"/>
      <c r="E13" s="68"/>
      <c r="F13" s="68"/>
      <c r="G13" s="68"/>
      <c r="H13" s="68"/>
      <c r="I13" s="5"/>
      <c r="J13" s="70"/>
      <c r="K13" s="73"/>
      <c r="L13" s="75"/>
      <c r="M13" s="82"/>
      <c r="N13" s="7"/>
      <c r="O13" s="65"/>
      <c r="P13" s="65"/>
      <c r="Q13" s="65"/>
      <c r="R13" s="65"/>
      <c r="S13" s="65"/>
      <c r="T13" s="65"/>
      <c r="U13" s="63"/>
      <c r="V13" s="76"/>
      <c r="W13" s="84"/>
      <c r="X13" s="63"/>
      <c r="Y13" s="68"/>
      <c r="Z13" s="68"/>
      <c r="AA13" s="68"/>
      <c r="AB13" s="68"/>
      <c r="AC13" s="68"/>
      <c r="AD13" s="68"/>
      <c r="AE13" s="5"/>
      <c r="AF13" s="70"/>
      <c r="AG13" s="73"/>
      <c r="AH13" s="75"/>
      <c r="AI13" s="82"/>
      <c r="AJ13" s="7"/>
      <c r="AK13" s="65"/>
      <c r="AL13" s="65"/>
      <c r="AM13" s="65"/>
      <c r="AN13" s="65"/>
      <c r="AO13" s="65"/>
      <c r="AP13" s="65"/>
      <c r="AQ13" s="63"/>
      <c r="AR13" s="76"/>
    </row>
    <row r="14" spans="1:46">
      <c r="A14" s="84"/>
      <c r="B14" s="64"/>
      <c r="C14" s="68"/>
      <c r="D14" s="68"/>
      <c r="E14" s="68"/>
      <c r="F14" s="68"/>
      <c r="G14" s="68"/>
      <c r="H14" s="68"/>
      <c r="I14" s="5"/>
      <c r="J14" s="70"/>
      <c r="K14" s="73"/>
      <c r="L14" s="75"/>
      <c r="M14" s="82"/>
      <c r="N14" s="6"/>
      <c r="O14" s="65"/>
      <c r="P14" s="65"/>
      <c r="Q14" s="65"/>
      <c r="R14" s="65"/>
      <c r="S14" s="65"/>
      <c r="T14" s="65"/>
      <c r="U14" s="64"/>
      <c r="V14" s="76"/>
      <c r="W14" s="84"/>
      <c r="X14" s="64"/>
      <c r="Y14" s="68"/>
      <c r="Z14" s="68"/>
      <c r="AA14" s="68"/>
      <c r="AB14" s="68"/>
      <c r="AC14" s="68"/>
      <c r="AD14" s="68"/>
      <c r="AE14" s="5"/>
      <c r="AF14" s="70"/>
      <c r="AG14" s="73"/>
      <c r="AH14" s="75"/>
      <c r="AI14" s="82"/>
      <c r="AJ14" s="6"/>
      <c r="AK14" s="65"/>
      <c r="AL14" s="65"/>
      <c r="AM14" s="65"/>
      <c r="AN14" s="65"/>
      <c r="AO14" s="65"/>
      <c r="AP14" s="65"/>
      <c r="AQ14" s="64"/>
      <c r="AR14" s="76"/>
    </row>
    <row r="15" spans="1:46" ht="30">
      <c r="A15" s="14" t="str">
        <f>IF(VLOOKUP(CONCATENATE(AT2,"-3"),Data!A:T,2,FALSE)="","",VLOOKUP(CONCATENATE(AT2,"-3"),Data!A:T,2,FALSE))</f>
        <v>FB</v>
      </c>
      <c r="B15" s="10"/>
      <c r="C15" s="10" t="s">
        <v>0</v>
      </c>
      <c r="D15" s="10"/>
      <c r="E15" s="10" t="s">
        <v>1</v>
      </c>
      <c r="F15" s="10"/>
      <c r="G15" s="10" t="s">
        <v>2</v>
      </c>
      <c r="H15" s="13" t="s">
        <v>3</v>
      </c>
      <c r="I15" s="8"/>
      <c r="J15" s="71"/>
      <c r="K15" s="73"/>
      <c r="L15" s="75"/>
      <c r="M15" s="83"/>
      <c r="N15" s="9"/>
      <c r="O15" s="66"/>
      <c r="P15" s="66"/>
      <c r="Q15" s="66"/>
      <c r="R15" s="66"/>
      <c r="S15" s="66"/>
      <c r="T15" s="66"/>
      <c r="U15" s="77">
        <v>2</v>
      </c>
      <c r="V15" s="78"/>
      <c r="W15" s="14" t="str">
        <f>IF(VLOOKUP(CONCATENATE(AT2,"-8"),Data!A:T,2,FALSE)="","",VLOOKUP(CONCATENATE(AT2,"-8"),Data!A:T,2,FALSE))</f>
        <v>FB</v>
      </c>
      <c r="X15" s="10"/>
      <c r="Y15" s="10" t="s">
        <v>0</v>
      </c>
      <c r="Z15" s="10"/>
      <c r="AA15" s="10" t="s">
        <v>1</v>
      </c>
      <c r="AB15" s="10"/>
      <c r="AC15" s="10" t="s">
        <v>2</v>
      </c>
      <c r="AD15" s="13" t="s">
        <v>3</v>
      </c>
      <c r="AE15" s="8"/>
      <c r="AF15" s="71"/>
      <c r="AG15" s="79"/>
      <c r="AH15" s="80"/>
      <c r="AI15" s="83"/>
      <c r="AJ15" s="9"/>
      <c r="AK15" s="66"/>
      <c r="AL15" s="66"/>
      <c r="AM15" s="66"/>
      <c r="AN15" s="66"/>
      <c r="AO15" s="66"/>
      <c r="AP15" s="66"/>
      <c r="AQ15" s="77">
        <v>2</v>
      </c>
      <c r="AR15" s="78"/>
    </row>
    <row r="16" spans="1:46" ht="30.75" customHeight="1">
      <c r="A16" s="85">
        <v>1</v>
      </c>
      <c r="B16" s="86"/>
      <c r="C16" s="67" t="str">
        <f>IF(VLOOKUP(CONCATENATE(AT2,"-4"),Data!A:T,4,FALSE)="","",VLOOKUP(CONCATENATE(AT2,"-4"),Data!A:T,4,FALSE))</f>
        <v>Newaygo Forest Products</v>
      </c>
      <c r="D16" s="67" t="str">
        <f>IF(VLOOKUP(CONCATENATE(AT2,"-4"),Data!A:T,5,FALSE)="","",VLOOKUP(CONCATENATE(AT2,"-4"),Data!A:T,5,FALSE))</f>
        <v>Mead</v>
      </c>
      <c r="E16" s="67" t="str">
        <f>IF(VLOOKUP(CONCATENATE(AT2,"-4"),Data!A:T,6,FALSE)="","",VLOOKUP(CONCATENATE(AT2,"-4"),Data!A:T,6,FALSE))</f>
        <v/>
      </c>
      <c r="F16" s="67" t="str">
        <f>IF(VLOOKUP(CONCATENATE(AT2,"-4"),Data!A:T,7,FALSE)="","",VLOOKUP(CONCATENATE(AT2,"-4"),Data!A:T,7,FALSE))</f>
        <v/>
      </c>
      <c r="G16" s="67" t="str">
        <f>IF(VLOOKUP(CONCATENATE(AT2,"-4"),Data!A:T,8,FALSE)="","",VLOOKUP(CONCATENATE(AT2,"-4"),Data!A:T,8,FALSE))</f>
        <v>Empty Car</v>
      </c>
      <c r="H16" s="67" t="str">
        <f>IF(VLOOKUP(CONCATENATE(AT2,"-4"),Data!A:T,9,FALSE)="","",VLOOKUP(CONCATENATE(AT2,"-4"),Data!A:T,9,FALSE))</f>
        <v/>
      </c>
      <c r="I16" s="1"/>
      <c r="J16" s="69" t="str">
        <f>IF(VLOOKUP(CONCATENATE(AT2,"-4"),Data!A:T,10,FALSE)="","",VLOOKUP(CONCATENATE(AT2,"-4"),Data!A:T,10,FALSE))</f>
        <v/>
      </c>
      <c r="K16" s="72" t="str">
        <f>IF(VLOOKUP(CONCATENATE(AT2,"-4"),Data!A:T,11,FALSE)="","",VLOOKUP(CONCATENATE(AT2,"-4"),Data!A:T,11,FALSE))</f>
        <v/>
      </c>
      <c r="L16" s="74" t="str">
        <f>IF(VLOOKUP(CONCATENATE(AT2,"-4"),Data!A:T,20,FALSE)="","",VLOOKUP(CONCATENATE(AT2,"-4"),Data!A:T,20,FALSE))</f>
        <v>Remove waybill when complete</v>
      </c>
      <c r="M16" s="81" t="str">
        <f>IF(VLOOKUP(CONCATENATE(AT2,"-4"),Data!A:T,19,FALSE)="","",VLOOKUP(CONCATENATE(AT2,"-4"),Data!A:T,19,FALSE))</f>
        <v/>
      </c>
      <c r="N16" s="2"/>
      <c r="O16" s="11" t="s">
        <v>3</v>
      </c>
      <c r="P16" s="11" t="s">
        <v>2</v>
      </c>
      <c r="Q16" s="11"/>
      <c r="R16" s="11" t="s">
        <v>1</v>
      </c>
      <c r="S16" s="11"/>
      <c r="T16" s="12" t="s">
        <v>0</v>
      </c>
      <c r="U16" s="3"/>
      <c r="V16" s="16" t="str">
        <f>IF(VLOOKUP(CONCATENATE(AT2,"-4"),Data!A:T,2,FALSE)="","",VLOOKUP(CONCATENATE(AT2,"-4"),Data!A:T,2,FALSE))</f>
        <v>FB</v>
      </c>
      <c r="W16" s="85">
        <v>1</v>
      </c>
      <c r="X16" s="86"/>
      <c r="Y16" s="67" t="str">
        <f>IF(VLOOKUP(CONCATENATE(AT2,"-9"),Data!A:T,4,FALSE)="","",VLOOKUP(CONCATENATE(AT2,"-9"),Data!A:T,4,FALSE))</f>
        <v>Weyerhaeuser Lumber</v>
      </c>
      <c r="Z16" s="67" t="str">
        <f>IF(VLOOKUP(CONCATENATE(AT2,"-9"),Data!A:T,5,FALSE)="","",VLOOKUP(CONCATENATE(AT2,"-9"),Data!A:T,5,FALSE))</f>
        <v>Baltimore, MD</v>
      </c>
      <c r="AA16" s="67" t="str">
        <f>IF(VLOOKUP(CONCATENATE(AT2,"-9"),Data!A:T,6,FALSE)="","",VLOOKUP(CONCATENATE(AT2,"-9"),Data!A:T,6,FALSE))</f>
        <v>Weyerhaeuser Canada</v>
      </c>
      <c r="AB16" s="67" t="str">
        <f>IF(VLOOKUP(CONCATENATE(AT2,"-9"),Data!A:T,7,FALSE)="","",VLOOKUP(CONCATENATE(AT2,"-9"),Data!A:T,7,FALSE))</f>
        <v>Sault Ste. Marie, ON</v>
      </c>
      <c r="AC16" s="67" t="str">
        <f>IF(VLOOKUP(CONCATENATE(AT2,"-9"),Data!A:T,8,FALSE)="","",VLOOKUP(CONCATENATE(AT2,"-9"),Data!A:T,8,FALSE))</f>
        <v>Lumber</v>
      </c>
      <c r="AD16" s="67" t="str">
        <f>IF(VLOOKUP(CONCATENATE(AT2,"-9"),Data!A:T,9,FALSE)="","",VLOOKUP(CONCATENATE(AT2,"-9"),Data!A:T,9,FALSE))</f>
        <v>AC-CN (Oba)</v>
      </c>
      <c r="AE16" s="1"/>
      <c r="AF16" s="69" t="str">
        <f>IF(VLOOKUP(CONCATENATE(AT2,"-9"),Data!A:T,10,FALSE)="","",VLOOKUP(CONCATENATE(AT2,"-9"),Data!A:T,10,FALSE))</f>
        <v/>
      </c>
      <c r="AG16" s="72" t="str">
        <f>IF(VLOOKUP(CONCATENATE(AT2,"-9"),Data!A:T,11,FALSE)="","",VLOOKUP(CONCATENATE(AT2,"-9"),Data!A:T,11,FALSE))</f>
        <v>Remove waybill when complete</v>
      </c>
      <c r="AH16" s="74" t="str">
        <f>IF(VLOOKUP(CONCATENATE(AT2,"-9"),Data!A:T,20,FALSE)="","",VLOOKUP(CONCATENATE(AT2,"-9"),Data!A:T,20,FALSE))</f>
        <v/>
      </c>
      <c r="AI16" s="81" t="str">
        <f>IF(VLOOKUP(CONCATENATE(AT2,"-9"),Data!A:T,19,FALSE)="","",VLOOKUP(CONCATENATE(AT2,"-9"),Data!A:T,19,FALSE))</f>
        <v/>
      </c>
      <c r="AJ16" s="2"/>
      <c r="AK16" s="11" t="s">
        <v>3</v>
      </c>
      <c r="AL16" s="11" t="s">
        <v>2</v>
      </c>
      <c r="AM16" s="11"/>
      <c r="AN16" s="11" t="s">
        <v>1</v>
      </c>
      <c r="AO16" s="11"/>
      <c r="AP16" s="12" t="s">
        <v>0</v>
      </c>
      <c r="AQ16" s="3"/>
      <c r="AR16" s="16" t="str">
        <f>IF(VLOOKUP(CONCATENATE(AT2,"-9"),Data!A:T,2,FALSE)="","",VLOOKUP(CONCATENATE(AT2,"-9"),Data!A:T,2,FALSE))</f>
        <v>FB</v>
      </c>
    </row>
    <row r="17" spans="1:44" ht="11.25" customHeight="1">
      <c r="A17" s="84" t="str">
        <f>IF(VLOOKUP(CONCATENATE(AT2,"-4"),Data!A:T,3,FALSE)="","",VLOOKUP(CONCATENATE(AT2,"-4"),Data!A:T,3,FALSE))</f>
        <v>MEAD</v>
      </c>
      <c r="B17" s="62"/>
      <c r="C17" s="68"/>
      <c r="D17" s="68"/>
      <c r="E17" s="68"/>
      <c r="F17" s="68"/>
      <c r="G17" s="68"/>
      <c r="H17" s="68"/>
      <c r="I17" s="5"/>
      <c r="J17" s="70"/>
      <c r="K17" s="73"/>
      <c r="L17" s="75"/>
      <c r="M17" s="82"/>
      <c r="N17" s="6"/>
      <c r="O17" s="65" t="str">
        <f>IF(VLOOKUP(CONCATENATE(AT2,"-4"),Data!A:T,18,FALSE)="","",VLOOKUP(CONCATENATE(AT2,"-4"),Data!A:T,18,FALSE))</f>
        <v>AC-SOO</v>
      </c>
      <c r="P17" s="65" t="str">
        <f>IF(VLOOKUP(CONCATENATE(AT2,"-4"),Data!A:T,17,FALSE)="","",VLOOKUP(CONCATENATE(AT2,"-4"),Data!A:T,17,FALSE))</f>
        <v>Lumber</v>
      </c>
      <c r="Q17" s="65" t="str">
        <f>IF(VLOOKUP(CONCATENATE(AT2,"-4"),Data!A:T,16,FALSE)="","",VLOOKUP(CONCATENATE(AT2,"-4"),Data!A:T,16,FALSE))</f>
        <v>Mead</v>
      </c>
      <c r="R17" s="65" t="str">
        <f>IF(VLOOKUP(CONCATENATE(AT2,"-4"),Data!A:T,15,FALSE)="","",VLOOKUP(CONCATENATE(AT2,"-4"),Data!A:T,15,FALSE))</f>
        <v>Newaygo Forest Products</v>
      </c>
      <c r="S17" s="65" t="str">
        <f>IF(VLOOKUP(CONCATENATE(AT2,"-4"),Data!A:T,14,FALSE)="","",VLOOKUP(CONCATENATE(AT2,"-4"),Data!A:T,14,FALSE))</f>
        <v>Green Bay, WI</v>
      </c>
      <c r="T17" s="65" t="str">
        <f>IF(VLOOKUP(CONCATENATE(AT2,"-4"),Data!A:T,13,FALSE)="","",VLOOKUP(CONCATENATE(AT2,"-4"),Data!A:T,13,FALSE))</f>
        <v>East River Lumber &amp; Fuel Co.</v>
      </c>
      <c r="U17" s="62"/>
      <c r="V17" s="76" t="str">
        <f>IF(VLOOKUP(CONCATENATE(AT2,"-4"),Data!A:T,12,FALSE)="","",VLOOKUP(CONCATENATE(AT2,"-4"),Data!A:T,12,FALSE))</f>
        <v>SAULT</v>
      </c>
      <c r="W17" s="84" t="str">
        <f>IF(VLOOKUP(CONCATENATE(AT2,"-9"),Data!A:T,3,FALSE)="","",VLOOKUP(CONCATENATE(AT2,"-9"),Data!A:T,3,FALSE))</f>
        <v>OBA</v>
      </c>
      <c r="X17" s="62"/>
      <c r="Y17" s="68"/>
      <c r="Z17" s="68"/>
      <c r="AA17" s="68"/>
      <c r="AB17" s="68"/>
      <c r="AC17" s="68"/>
      <c r="AD17" s="68"/>
      <c r="AE17" s="5"/>
      <c r="AF17" s="70"/>
      <c r="AG17" s="73"/>
      <c r="AH17" s="75"/>
      <c r="AI17" s="82"/>
      <c r="AJ17" s="6"/>
      <c r="AK17" s="65" t="str">
        <f>IF(VLOOKUP(CONCATENATE(AT2,"-9"),Data!A:T,18,FALSE)="","",VLOOKUP(CONCATENATE(AT2,"-9"),Data!A:T,18,FALSE))</f>
        <v/>
      </c>
      <c r="AL17" s="65" t="str">
        <f>IF(VLOOKUP(CONCATENATE(AT2,"-9"),Data!A:T,17,FALSE)="","",VLOOKUP(CONCATENATE(AT2,"-9"),Data!A:T,17,FALSE))</f>
        <v/>
      </c>
      <c r="AM17" s="65" t="str">
        <f>IF(VLOOKUP(CONCATENATE(AT2,"-9"),Data!A:T,16,FALSE)="","",VLOOKUP(CONCATENATE(AT2,"-9"),Data!A:T,16,FALSE))</f>
        <v/>
      </c>
      <c r="AN17" s="65" t="str">
        <f>IF(VLOOKUP(CONCATENATE(AT2,"-9"),Data!A:T,15,FALSE)="","",VLOOKUP(CONCATENATE(AT2,"-9"),Data!A:T,15,FALSE))</f>
        <v/>
      </c>
      <c r="AO17" s="65" t="str">
        <f>IF(VLOOKUP(CONCATENATE(AT2,"-9"),Data!A:T,14,FALSE)="","",VLOOKUP(CONCATENATE(AT2,"-9"),Data!A:T,14,FALSE))</f>
        <v/>
      </c>
      <c r="AP17" s="65" t="str">
        <f>IF(VLOOKUP(CONCATENATE(AT2,"-9"),Data!A:T,13,FALSE)="","",VLOOKUP(CONCATENATE(AT2,"-9"),Data!A:T,13,FALSE))</f>
        <v/>
      </c>
      <c r="AQ17" s="62"/>
      <c r="AR17" s="76" t="str">
        <f>IF(VLOOKUP(CONCATENATE(AT2,"-9"),Data!A:T,12,FALSE)="","",VLOOKUP(CONCATENATE(AT2,"-9"),Data!A:T,12,FALSE))</f>
        <v/>
      </c>
    </row>
    <row r="18" spans="1:44" ht="55.5" customHeight="1">
      <c r="A18" s="84"/>
      <c r="B18" s="63"/>
      <c r="C18" s="68"/>
      <c r="D18" s="68"/>
      <c r="E18" s="68"/>
      <c r="F18" s="68"/>
      <c r="G18" s="68"/>
      <c r="H18" s="68"/>
      <c r="I18" s="5"/>
      <c r="J18" s="70"/>
      <c r="K18" s="73"/>
      <c r="L18" s="75"/>
      <c r="M18" s="82"/>
      <c r="N18" s="7"/>
      <c r="O18" s="65"/>
      <c r="P18" s="65"/>
      <c r="Q18" s="65"/>
      <c r="R18" s="65"/>
      <c r="S18" s="65"/>
      <c r="T18" s="65"/>
      <c r="U18" s="63"/>
      <c r="V18" s="76"/>
      <c r="W18" s="84"/>
      <c r="X18" s="63"/>
      <c r="Y18" s="68"/>
      <c r="Z18" s="68"/>
      <c r="AA18" s="68"/>
      <c r="AB18" s="68"/>
      <c r="AC18" s="68"/>
      <c r="AD18" s="68"/>
      <c r="AE18" s="5"/>
      <c r="AF18" s="70"/>
      <c r="AG18" s="73"/>
      <c r="AH18" s="75"/>
      <c r="AI18" s="82"/>
      <c r="AJ18" s="7"/>
      <c r="AK18" s="65"/>
      <c r="AL18" s="65"/>
      <c r="AM18" s="65"/>
      <c r="AN18" s="65"/>
      <c r="AO18" s="65"/>
      <c r="AP18" s="65"/>
      <c r="AQ18" s="63"/>
      <c r="AR18" s="76"/>
    </row>
    <row r="19" spans="1:44">
      <c r="A19" s="84"/>
      <c r="B19" s="64"/>
      <c r="C19" s="68"/>
      <c r="D19" s="68"/>
      <c r="E19" s="68"/>
      <c r="F19" s="68"/>
      <c r="G19" s="68"/>
      <c r="H19" s="68"/>
      <c r="I19" s="5"/>
      <c r="J19" s="70"/>
      <c r="K19" s="73"/>
      <c r="L19" s="75"/>
      <c r="M19" s="82"/>
      <c r="N19" s="6"/>
      <c r="O19" s="65"/>
      <c r="P19" s="65"/>
      <c r="Q19" s="65"/>
      <c r="R19" s="65"/>
      <c r="S19" s="65"/>
      <c r="T19" s="65"/>
      <c r="U19" s="64"/>
      <c r="V19" s="76"/>
      <c r="W19" s="84"/>
      <c r="X19" s="64"/>
      <c r="Y19" s="68"/>
      <c r="Z19" s="68"/>
      <c r="AA19" s="68"/>
      <c r="AB19" s="68"/>
      <c r="AC19" s="68"/>
      <c r="AD19" s="68"/>
      <c r="AE19" s="5"/>
      <c r="AF19" s="70"/>
      <c r="AG19" s="73"/>
      <c r="AH19" s="75"/>
      <c r="AI19" s="82"/>
      <c r="AJ19" s="6"/>
      <c r="AK19" s="65"/>
      <c r="AL19" s="65"/>
      <c r="AM19" s="65"/>
      <c r="AN19" s="65"/>
      <c r="AO19" s="65"/>
      <c r="AP19" s="65"/>
      <c r="AQ19" s="64"/>
      <c r="AR19" s="76"/>
    </row>
    <row r="20" spans="1:44" ht="30">
      <c r="A20" s="14" t="str">
        <f>IF(VLOOKUP(CONCATENATE(AT2,"-4"),Data!A:T,2,FALSE)="","",VLOOKUP(CONCATENATE(AT2,"-4"),Data!A:T,2,FALSE))</f>
        <v>FB</v>
      </c>
      <c r="B20" s="10"/>
      <c r="C20" s="10" t="s">
        <v>0</v>
      </c>
      <c r="D20" s="10"/>
      <c r="E20" s="10" t="s">
        <v>1</v>
      </c>
      <c r="F20" s="10"/>
      <c r="G20" s="10" t="s">
        <v>2</v>
      </c>
      <c r="H20" s="13" t="s">
        <v>3</v>
      </c>
      <c r="I20" s="8"/>
      <c r="J20" s="71"/>
      <c r="K20" s="73"/>
      <c r="L20" s="75"/>
      <c r="M20" s="83"/>
      <c r="N20" s="9"/>
      <c r="O20" s="66"/>
      <c r="P20" s="66"/>
      <c r="Q20" s="66"/>
      <c r="R20" s="66"/>
      <c r="S20" s="66"/>
      <c r="T20" s="66"/>
      <c r="U20" s="77">
        <v>2</v>
      </c>
      <c r="V20" s="78"/>
      <c r="W20" s="14" t="str">
        <f>IF(VLOOKUP(CONCATENATE(AT2,"-9"),Data!A:T,2,FALSE)="","",VLOOKUP(CONCATENATE(AT2,"-9"),Data!A:T,2,FALSE))</f>
        <v>FB</v>
      </c>
      <c r="X20" s="10"/>
      <c r="Y20" s="10" t="s">
        <v>0</v>
      </c>
      <c r="Z20" s="10"/>
      <c r="AA20" s="10" t="s">
        <v>1</v>
      </c>
      <c r="AB20" s="10"/>
      <c r="AC20" s="10" t="s">
        <v>2</v>
      </c>
      <c r="AD20" s="13" t="s">
        <v>3</v>
      </c>
      <c r="AE20" s="8"/>
      <c r="AF20" s="71"/>
      <c r="AG20" s="79"/>
      <c r="AH20" s="80"/>
      <c r="AI20" s="83"/>
      <c r="AJ20" s="9"/>
      <c r="AK20" s="66"/>
      <c r="AL20" s="66"/>
      <c r="AM20" s="66"/>
      <c r="AN20" s="66"/>
      <c r="AO20" s="66"/>
      <c r="AP20" s="66"/>
      <c r="AQ20" s="77">
        <v>2</v>
      </c>
      <c r="AR20" s="78"/>
    </row>
    <row r="21" spans="1:44" ht="30.75" customHeight="1">
      <c r="A21" s="85">
        <v>1</v>
      </c>
      <c r="B21" s="86"/>
      <c r="C21" s="67" t="str">
        <f>IF(VLOOKUP(CONCATENATE(AT2,"-5"),Data!A:T,4,FALSE)="","",VLOOKUP(CONCATENATE(AT2,"-5"),Data!A:T,4,FALSE))</f>
        <v>Newaygo Forest Products</v>
      </c>
      <c r="D21" s="67" t="str">
        <f>IF(VLOOKUP(CONCATENATE(AT2,"-5"),Data!A:T,5,FALSE)="","",VLOOKUP(CONCATENATE(AT2,"-5"),Data!A:T,5,FALSE))</f>
        <v>Mead</v>
      </c>
      <c r="E21" s="67" t="str">
        <f>IF(VLOOKUP(CONCATENATE(AT2,"-5"),Data!A:T,6,FALSE)="","",VLOOKUP(CONCATENATE(AT2,"-5"),Data!A:T,6,FALSE))</f>
        <v/>
      </c>
      <c r="F21" s="67" t="str">
        <f>IF(VLOOKUP(CONCATENATE(AT2,"-5"),Data!A:T,7,FALSE)="","",VLOOKUP(CONCATENATE(AT2,"-5"),Data!A:T,7,FALSE))</f>
        <v/>
      </c>
      <c r="G21" s="67" t="str">
        <f>IF(VLOOKUP(CONCATENATE(AT2,"-5"),Data!A:T,8,FALSE)="","",VLOOKUP(CONCATENATE(AT2,"-5"),Data!A:T,8,FALSE))</f>
        <v>Empty Car</v>
      </c>
      <c r="H21" s="67" t="str">
        <f>IF(VLOOKUP(CONCATENATE(AT2,"-5"),Data!A:T,9,FALSE)="","",VLOOKUP(CONCATENATE(AT2,"-5"),Data!A:T,9,FALSE))</f>
        <v/>
      </c>
      <c r="I21" s="1"/>
      <c r="J21" s="69" t="str">
        <f>IF(VLOOKUP(CONCATENATE(AT2,"-5"),Data!A:T,10,FALSE)="","",VLOOKUP(CONCATENATE(AT2,"-5"),Data!A:T,10,FALSE))</f>
        <v/>
      </c>
      <c r="K21" s="72" t="str">
        <f>IF(VLOOKUP(CONCATENATE(AT2,"-5"),Data!A:T,11,FALSE)="","",VLOOKUP(CONCATENATE(AT2,"-5"),Data!A:T,11,FALSE))</f>
        <v/>
      </c>
      <c r="L21" s="74" t="str">
        <f>IF(VLOOKUP(CONCATENATE(AT2,"-5"),Data!A:T,20,FALSE)="","",VLOOKUP(CONCATENATE(AT2,"-5"),Data!A:T,20,FALSE))</f>
        <v>Remove waybill when complete</v>
      </c>
      <c r="M21" s="81" t="str">
        <f>IF(VLOOKUP(CONCATENATE(AT2,"-5"),Data!A:T,19,FALSE)="","",VLOOKUP(CONCATENATE(AT2,"-5"),Data!A:T,19,FALSE))</f>
        <v/>
      </c>
      <c r="N21" s="2"/>
      <c r="O21" s="11" t="s">
        <v>3</v>
      </c>
      <c r="P21" s="11" t="s">
        <v>2</v>
      </c>
      <c r="Q21" s="11"/>
      <c r="R21" s="11" t="s">
        <v>1</v>
      </c>
      <c r="S21" s="11"/>
      <c r="T21" s="12" t="s">
        <v>0</v>
      </c>
      <c r="U21" s="3"/>
      <c r="V21" s="16" t="str">
        <f>IF(VLOOKUP(CONCATENATE(AT2,"-5"),Data!A:T,2,FALSE)="","",VLOOKUP(CONCATENATE(AT2,"-5"),Data!A:T,2,FALSE))</f>
        <v>FB</v>
      </c>
      <c r="W21" s="85">
        <v>1</v>
      </c>
      <c r="X21" s="86"/>
      <c r="Y21" s="67" t="str">
        <f>IF(VLOOKUP(CONCATENATE(AT2,"-10"),Data!A:T,4,FALSE)="","",VLOOKUP(CONCATENATE(AT2,"-10"),Data!A:T,4,FALSE))</f>
        <v>Weyerhaeuser Canada</v>
      </c>
      <c r="Z21" s="67" t="str">
        <f>IF(VLOOKUP(CONCATENATE(AT2,"-10"),Data!A:T,5,FALSE)="","",VLOOKUP(CONCATENATE(AT2,"-10"),Data!A:T,5,FALSE))</f>
        <v>Sault Ste. Marie, ON</v>
      </c>
      <c r="AA21" s="67" t="str">
        <f>IF(VLOOKUP(CONCATENATE(AT2,"-10"),Data!A:T,6,FALSE)="","",VLOOKUP(CONCATENATE(AT2,"-10"),Data!A:T,6,FALSE))</f>
        <v>Agent CN</v>
      </c>
      <c r="AB21" s="67" t="str">
        <f>IF(VLOOKUP(CONCATENATE(AT2,"-10"),Data!A:T,7,FALSE)="","",VLOOKUP(CONCATENATE(AT2,"-10"),Data!A:T,7,FALSE))</f>
        <v/>
      </c>
      <c r="AC21" s="67" t="str">
        <f>IF(VLOOKUP(CONCATENATE(AT2,"-10"),Data!A:T,8,FALSE)="","",VLOOKUP(CONCATENATE(AT2,"-10"),Data!A:T,8,FALSE))</f>
        <v>Empty Car</v>
      </c>
      <c r="AD21" s="67" t="str">
        <f>IF(VLOOKUP(CONCATENATE(AT2,"-10"),Data!A:T,9,FALSE)="","",VLOOKUP(CONCATENATE(AT2,"-10"),Data!A:T,9,FALSE))</f>
        <v>CN (Oba)-AC</v>
      </c>
      <c r="AE21" s="1"/>
      <c r="AF21" s="69" t="str">
        <f>IF(VLOOKUP(CONCATENATE(AT2,"-10"),Data!A:T,10,FALSE)="","",VLOOKUP(CONCATENATE(AT2,"-10"),Data!A:T,10,FALSE))</f>
        <v/>
      </c>
      <c r="AG21" s="72" t="str">
        <f>IF(VLOOKUP(CONCATENATE(AT2,"-10"),Data!A:T,11,FALSE)="","",VLOOKUP(CONCATENATE(AT2,"-10"),Data!A:T,11,FALSE))</f>
        <v/>
      </c>
      <c r="AH21" s="74" t="str">
        <f>IF(VLOOKUP(CONCATENATE(AT2,"-10"),Data!A:T,20,FALSE)="","",VLOOKUP(CONCATENATE(AT2,"-10"),Data!A:T,20,FALSE))</f>
        <v>Remove waybill when complete</v>
      </c>
      <c r="AI21" s="81" t="str">
        <f>IF(VLOOKUP(CONCATENATE(AT2,"-10"),Data!A:T,19,FALSE)="","",VLOOKUP(CONCATENATE(AT2,"-10"),Data!A:T,19,FALSE))</f>
        <v/>
      </c>
      <c r="AJ21" s="2"/>
      <c r="AK21" s="11" t="s">
        <v>3</v>
      </c>
      <c r="AL21" s="11" t="s">
        <v>2</v>
      </c>
      <c r="AM21" s="11"/>
      <c r="AN21" s="11" t="s">
        <v>1</v>
      </c>
      <c r="AO21" s="11"/>
      <c r="AP21" s="12" t="s">
        <v>0</v>
      </c>
      <c r="AQ21" s="3"/>
      <c r="AR21" s="16" t="str">
        <f>IF(VLOOKUP(CONCATENATE(AT2,"-10"),Data!A:T,2,FALSE)="","",VLOOKUP(CONCATENATE(AT2,"-10"),Data!A:T,2,FALSE))</f>
        <v>XM</v>
      </c>
    </row>
    <row r="22" spans="1:44" ht="11.25" customHeight="1">
      <c r="A22" s="84" t="str">
        <f>IF(VLOOKUP(CONCATENATE(AT2,"-5"),Data!A:T,3,FALSE)="","",VLOOKUP(CONCATENATE(AT2,"-5"),Data!A:T,3,FALSE))</f>
        <v>MEAD</v>
      </c>
      <c r="B22" s="62"/>
      <c r="C22" s="68"/>
      <c r="D22" s="68"/>
      <c r="E22" s="68"/>
      <c r="F22" s="68"/>
      <c r="G22" s="68"/>
      <c r="H22" s="68"/>
      <c r="I22" s="5"/>
      <c r="J22" s="70"/>
      <c r="K22" s="73"/>
      <c r="L22" s="75"/>
      <c r="M22" s="82"/>
      <c r="N22" s="6"/>
      <c r="O22" s="65" t="str">
        <f>IF(VLOOKUP(CONCATENATE(AT2,"-5"),Data!A:T,18,FALSE)="","",VLOOKUP(CONCATENATE(AT2,"-5"),Data!A:T,18,FALSE))</f>
        <v>AC-SOO</v>
      </c>
      <c r="P22" s="65" t="str">
        <f>IF(VLOOKUP(CONCATENATE(AT2,"-5"),Data!A:T,17,FALSE)="","",VLOOKUP(CONCATENATE(AT2,"-5"),Data!A:T,17,FALSE))</f>
        <v>Lumber</v>
      </c>
      <c r="Q22" s="65" t="str">
        <f>IF(VLOOKUP(CONCATENATE(AT2,"-5"),Data!A:T,16,FALSE)="","",VLOOKUP(CONCATENATE(AT2,"-5"),Data!A:T,16,FALSE))</f>
        <v>Mead</v>
      </c>
      <c r="R22" s="65" t="str">
        <f>IF(VLOOKUP(CONCATENATE(AT2,"-5"),Data!A:T,15,FALSE)="","",VLOOKUP(CONCATENATE(AT2,"-5"),Data!A:T,15,FALSE))</f>
        <v>Newaygo Forest Products</v>
      </c>
      <c r="S22" s="65" t="str">
        <f>IF(VLOOKUP(CONCATENATE(AT2,"-5"),Data!A:T,14,FALSE)="","",VLOOKUP(CONCATENATE(AT2,"-5"),Data!A:T,14,FALSE))</f>
        <v>Burlington, IA</v>
      </c>
      <c r="T22" s="65" t="str">
        <f>IF(VLOOKUP(CONCATENATE(AT2,"-5"),Data!A:T,13,FALSE)="","",VLOOKUP(CONCATENATE(AT2,"-5"),Data!A:T,13,FALSE))</f>
        <v>Fullerton Lumber Co.</v>
      </c>
      <c r="U22" s="62"/>
      <c r="V22" s="76" t="str">
        <f>IF(VLOOKUP(CONCATENATE(AT2,"-5"),Data!A:T,12,FALSE)="","",VLOOKUP(CONCATENATE(AT2,"-5"),Data!A:T,12,FALSE))</f>
        <v>SAULT</v>
      </c>
      <c r="W22" s="84" t="str">
        <f>IF(VLOOKUP(CONCATENATE(AT2,"-10"),Data!A:T,3,FALSE)="","",VLOOKUP(CONCATENATE(AT2,"-10"),Data!A:T,3,FALSE))</f>
        <v>SAULT</v>
      </c>
      <c r="X22" s="62"/>
      <c r="Y22" s="68"/>
      <c r="Z22" s="68"/>
      <c r="AA22" s="68"/>
      <c r="AB22" s="68"/>
      <c r="AC22" s="68"/>
      <c r="AD22" s="68"/>
      <c r="AE22" s="5"/>
      <c r="AF22" s="70"/>
      <c r="AG22" s="73"/>
      <c r="AH22" s="75"/>
      <c r="AI22" s="82"/>
      <c r="AJ22" s="6"/>
      <c r="AK22" s="65" t="str">
        <f>IF(VLOOKUP(CONCATENATE(AT2,"-10"),Data!A:T,18,FALSE)="","",VLOOKUP(CONCATENATE(AT2,"-10"),Data!A:T,18,FALSE))</f>
        <v>AC-CN (Oba)</v>
      </c>
      <c r="AL22" s="65" t="str">
        <f>IF(VLOOKUP(CONCATENATE(AT2,"-10"),Data!A:T,17,FALSE)="","",VLOOKUP(CONCATENATE(AT2,"-10"),Data!A:T,17,FALSE))</f>
        <v>Veneer</v>
      </c>
      <c r="AM22" s="65" t="str">
        <f>IF(VLOOKUP(CONCATENATE(AT2,"-10"),Data!A:T,16,FALSE)="","",VLOOKUP(CONCATENATE(AT2,"-10"),Data!A:T,16,FALSE))</f>
        <v>Sault Ste. Marie, ON</v>
      </c>
      <c r="AN22" s="65" t="str">
        <f>IF(VLOOKUP(CONCATENATE(AT2,"-10"),Data!A:T,15,FALSE)="","",VLOOKUP(CONCATENATE(AT2,"-10"),Data!A:T,15,FALSE))</f>
        <v>Weyerhaeuser Canada</v>
      </c>
      <c r="AO22" s="65" t="str">
        <f>IF(VLOOKUP(CONCATENATE(AT2,"-10"),Data!A:T,14,FALSE)="","",VLOOKUP(CONCATENATE(AT2,"-10"),Data!A:T,14,FALSE))</f>
        <v>Lawrence, MA</v>
      </c>
      <c r="AP22" s="65" t="str">
        <f>IF(VLOOKUP(CONCATENATE(AT2,"-10"),Data!A:T,13,FALSE)="","",VLOOKUP(CONCATENATE(AT2,"-10"),Data!A:T,13,FALSE))</f>
        <v>Plycraft Inc.</v>
      </c>
      <c r="AQ22" s="62"/>
      <c r="AR22" s="76" t="str">
        <f>IF(VLOOKUP(CONCATENATE(AT2,"-10"),Data!A:T,12,FALSE)="","",VLOOKUP(CONCATENATE(AT2,"-10"),Data!A:T,12,FALSE))</f>
        <v>OBA</v>
      </c>
    </row>
    <row r="23" spans="1:44" ht="55.5" customHeight="1">
      <c r="A23" s="84"/>
      <c r="B23" s="63"/>
      <c r="C23" s="68"/>
      <c r="D23" s="68"/>
      <c r="E23" s="68"/>
      <c r="F23" s="68"/>
      <c r="G23" s="68"/>
      <c r="H23" s="68"/>
      <c r="I23" s="5"/>
      <c r="J23" s="70"/>
      <c r="K23" s="73"/>
      <c r="L23" s="75"/>
      <c r="M23" s="82"/>
      <c r="N23" s="7"/>
      <c r="O23" s="65"/>
      <c r="P23" s="65"/>
      <c r="Q23" s="65"/>
      <c r="R23" s="65"/>
      <c r="S23" s="65"/>
      <c r="T23" s="65"/>
      <c r="U23" s="63"/>
      <c r="V23" s="76"/>
      <c r="W23" s="84"/>
      <c r="X23" s="63"/>
      <c r="Y23" s="68"/>
      <c r="Z23" s="68"/>
      <c r="AA23" s="68"/>
      <c r="AB23" s="68"/>
      <c r="AC23" s="68"/>
      <c r="AD23" s="68"/>
      <c r="AE23" s="5"/>
      <c r="AF23" s="70"/>
      <c r="AG23" s="73"/>
      <c r="AH23" s="75"/>
      <c r="AI23" s="82"/>
      <c r="AJ23" s="7"/>
      <c r="AK23" s="65"/>
      <c r="AL23" s="65"/>
      <c r="AM23" s="65"/>
      <c r="AN23" s="65"/>
      <c r="AO23" s="65"/>
      <c r="AP23" s="65"/>
      <c r="AQ23" s="63"/>
      <c r="AR23" s="76"/>
    </row>
    <row r="24" spans="1:44">
      <c r="A24" s="84"/>
      <c r="B24" s="64"/>
      <c r="C24" s="68"/>
      <c r="D24" s="68"/>
      <c r="E24" s="68"/>
      <c r="F24" s="68"/>
      <c r="G24" s="68"/>
      <c r="H24" s="68"/>
      <c r="I24" s="5"/>
      <c r="J24" s="70"/>
      <c r="K24" s="73"/>
      <c r="L24" s="75"/>
      <c r="M24" s="82"/>
      <c r="N24" s="6"/>
      <c r="O24" s="65"/>
      <c r="P24" s="65"/>
      <c r="Q24" s="65"/>
      <c r="R24" s="65"/>
      <c r="S24" s="65"/>
      <c r="T24" s="65"/>
      <c r="U24" s="64"/>
      <c r="V24" s="76"/>
      <c r="W24" s="84"/>
      <c r="X24" s="64"/>
      <c r="Y24" s="68"/>
      <c r="Z24" s="68"/>
      <c r="AA24" s="68"/>
      <c r="AB24" s="68"/>
      <c r="AC24" s="68"/>
      <c r="AD24" s="68"/>
      <c r="AE24" s="5"/>
      <c r="AF24" s="70"/>
      <c r="AG24" s="73"/>
      <c r="AH24" s="75"/>
      <c r="AI24" s="82"/>
      <c r="AJ24" s="6"/>
      <c r="AK24" s="65"/>
      <c r="AL24" s="65"/>
      <c r="AM24" s="65"/>
      <c r="AN24" s="65"/>
      <c r="AO24" s="65"/>
      <c r="AP24" s="65"/>
      <c r="AQ24" s="64"/>
      <c r="AR24" s="76"/>
    </row>
    <row r="25" spans="1:44" ht="30">
      <c r="A25" s="14" t="str">
        <f>IF(VLOOKUP(CONCATENATE(AT2,"-5"),Data!A:T,2,FALSE)="","",VLOOKUP(CONCATENATE(AT2,"-5"),Data!A:T,2,FALSE))</f>
        <v>FB</v>
      </c>
      <c r="B25" s="10"/>
      <c r="C25" s="10" t="s">
        <v>0</v>
      </c>
      <c r="D25" s="10"/>
      <c r="E25" s="10" t="s">
        <v>1</v>
      </c>
      <c r="F25" s="10"/>
      <c r="G25" s="10" t="s">
        <v>2</v>
      </c>
      <c r="H25" s="13" t="s">
        <v>3</v>
      </c>
      <c r="I25" s="8"/>
      <c r="J25" s="71"/>
      <c r="K25" s="79"/>
      <c r="L25" s="80"/>
      <c r="M25" s="83"/>
      <c r="N25" s="9"/>
      <c r="O25" s="66"/>
      <c r="P25" s="66"/>
      <c r="Q25" s="66"/>
      <c r="R25" s="66"/>
      <c r="S25" s="66"/>
      <c r="T25" s="66"/>
      <c r="U25" s="77">
        <v>2</v>
      </c>
      <c r="V25" s="78"/>
      <c r="W25" s="14" t="str">
        <f>IF(VLOOKUP(CONCATENATE(AT2,"-10"),Data!A:T,2,FALSE)="","",VLOOKUP(CONCATENATE(AT2,"-10"),Data!A:T,2,FALSE))</f>
        <v>XM</v>
      </c>
      <c r="X25" s="10"/>
      <c r="Y25" s="10" t="s">
        <v>0</v>
      </c>
      <c r="Z25" s="10"/>
      <c r="AA25" s="10" t="s">
        <v>1</v>
      </c>
      <c r="AB25" s="10"/>
      <c r="AC25" s="10" t="s">
        <v>2</v>
      </c>
      <c r="AD25" s="13" t="s">
        <v>3</v>
      </c>
      <c r="AE25" s="8"/>
      <c r="AF25" s="71"/>
      <c r="AG25" s="79"/>
      <c r="AH25" s="80"/>
      <c r="AI25" s="83"/>
      <c r="AJ25" s="9"/>
      <c r="AK25" s="66"/>
      <c r="AL25" s="66"/>
      <c r="AM25" s="66"/>
      <c r="AN25" s="66"/>
      <c r="AO25" s="66"/>
      <c r="AP25" s="66"/>
      <c r="AQ25" s="77">
        <v>2</v>
      </c>
      <c r="AR25" s="78"/>
    </row>
  </sheetData>
  <mergeCells count="220">
    <mergeCell ref="A1:B1"/>
    <mergeCell ref="C1:C4"/>
    <mergeCell ref="D1:D4"/>
    <mergeCell ref="E1:E4"/>
    <mergeCell ref="F1:F4"/>
    <mergeCell ref="G1:G4"/>
    <mergeCell ref="R2:R5"/>
    <mergeCell ref="S2:S5"/>
    <mergeCell ref="Y1:Y4"/>
    <mergeCell ref="B2:B4"/>
    <mergeCell ref="Z1:Z4"/>
    <mergeCell ref="AA1:AA4"/>
    <mergeCell ref="AB1:AB4"/>
    <mergeCell ref="AC1:AC4"/>
    <mergeCell ref="AD1:AD4"/>
    <mergeCell ref="H1:H4"/>
    <mergeCell ref="J1:J5"/>
    <mergeCell ref="K1:K5"/>
    <mergeCell ref="L1:L5"/>
    <mergeCell ref="M1:M5"/>
    <mergeCell ref="W1:X1"/>
    <mergeCell ref="T2:T5"/>
    <mergeCell ref="V2:V4"/>
    <mergeCell ref="W2:W4"/>
    <mergeCell ref="U2:U4"/>
    <mergeCell ref="X2:X4"/>
    <mergeCell ref="AR2:AR4"/>
    <mergeCell ref="U5:V5"/>
    <mergeCell ref="AQ5:AR5"/>
    <mergeCell ref="A6:B6"/>
    <mergeCell ref="C6:C9"/>
    <mergeCell ref="D6:D9"/>
    <mergeCell ref="E6:E9"/>
    <mergeCell ref="F6:F9"/>
    <mergeCell ref="G6:G9"/>
    <mergeCell ref="H6:H9"/>
    <mergeCell ref="AK2:AK5"/>
    <mergeCell ref="AL2:AL5"/>
    <mergeCell ref="AM2:AM5"/>
    <mergeCell ref="AN2:AN5"/>
    <mergeCell ref="AO2:AO5"/>
    <mergeCell ref="AP2:AP5"/>
    <mergeCell ref="AF1:AF5"/>
    <mergeCell ref="AG1:AG5"/>
    <mergeCell ref="AH1:AH5"/>
    <mergeCell ref="AI1:AI5"/>
    <mergeCell ref="A2:A4"/>
    <mergeCell ref="O2:O5"/>
    <mergeCell ref="P2:P5"/>
    <mergeCell ref="Q2:Q5"/>
    <mergeCell ref="S7:S10"/>
    <mergeCell ref="T7:T10"/>
    <mergeCell ref="Z6:Z9"/>
    <mergeCell ref="AA6:AA9"/>
    <mergeCell ref="AB6:AB9"/>
    <mergeCell ref="AC6:AC9"/>
    <mergeCell ref="AD6:AD9"/>
    <mergeCell ref="AF6:AF10"/>
    <mergeCell ref="J6:J10"/>
    <mergeCell ref="K6:K10"/>
    <mergeCell ref="L6:L10"/>
    <mergeCell ref="M6:M10"/>
    <mergeCell ref="W6:X6"/>
    <mergeCell ref="Y6:Y9"/>
    <mergeCell ref="V7:V9"/>
    <mergeCell ref="W7:W9"/>
    <mergeCell ref="AR7:AR9"/>
    <mergeCell ref="U10:V10"/>
    <mergeCell ref="AQ10:AR10"/>
    <mergeCell ref="A11:B11"/>
    <mergeCell ref="C11:C14"/>
    <mergeCell ref="D11:D14"/>
    <mergeCell ref="E11:E14"/>
    <mergeCell ref="F11:F14"/>
    <mergeCell ref="G11:G14"/>
    <mergeCell ref="H11:H14"/>
    <mergeCell ref="AK7:AK10"/>
    <mergeCell ref="AL7:AL10"/>
    <mergeCell ref="AM7:AM10"/>
    <mergeCell ref="AN7:AN10"/>
    <mergeCell ref="AO7:AO10"/>
    <mergeCell ref="AP7:AP10"/>
    <mergeCell ref="AG6:AG10"/>
    <mergeCell ref="AH6:AH10"/>
    <mergeCell ref="AI6:AI10"/>
    <mergeCell ref="A7:A9"/>
    <mergeCell ref="O7:O10"/>
    <mergeCell ref="P7:P10"/>
    <mergeCell ref="Q7:Q10"/>
    <mergeCell ref="R7:R10"/>
    <mergeCell ref="AB11:AB14"/>
    <mergeCell ref="AC11:AC14"/>
    <mergeCell ref="AD11:AD14"/>
    <mergeCell ref="AF11:AF15"/>
    <mergeCell ref="J11:J15"/>
    <mergeCell ref="K11:K15"/>
    <mergeCell ref="L11:L15"/>
    <mergeCell ref="M11:M15"/>
    <mergeCell ref="W11:X11"/>
    <mergeCell ref="Y11:Y14"/>
    <mergeCell ref="V12:V14"/>
    <mergeCell ref="W12:W14"/>
    <mergeCell ref="A12:A14"/>
    <mergeCell ref="O12:O15"/>
    <mergeCell ref="P12:P15"/>
    <mergeCell ref="Q12:Q15"/>
    <mergeCell ref="R12:R15"/>
    <mergeCell ref="S12:S15"/>
    <mergeCell ref="T12:T15"/>
    <mergeCell ref="Z11:Z14"/>
    <mergeCell ref="AA11:AA14"/>
    <mergeCell ref="M16:M20"/>
    <mergeCell ref="W16:X16"/>
    <mergeCell ref="Y16:Y19"/>
    <mergeCell ref="V17:V19"/>
    <mergeCell ref="W17:W19"/>
    <mergeCell ref="AR12:AR14"/>
    <mergeCell ref="U15:V15"/>
    <mergeCell ref="AQ15:AR15"/>
    <mergeCell ref="A16:B16"/>
    <mergeCell ref="C16:C19"/>
    <mergeCell ref="D16:D19"/>
    <mergeCell ref="E16:E19"/>
    <mergeCell ref="F16:F19"/>
    <mergeCell ref="G16:G19"/>
    <mergeCell ref="H16:H19"/>
    <mergeCell ref="AK12:AK15"/>
    <mergeCell ref="AL12:AL15"/>
    <mergeCell ref="AM12:AM15"/>
    <mergeCell ref="AN12:AN15"/>
    <mergeCell ref="AO12:AO15"/>
    <mergeCell ref="AP12:AP15"/>
    <mergeCell ref="AG11:AG15"/>
    <mergeCell ref="AH11:AH15"/>
    <mergeCell ref="AI11:AI15"/>
    <mergeCell ref="AR17:AR19"/>
    <mergeCell ref="U20:V20"/>
    <mergeCell ref="AQ20:AR20"/>
    <mergeCell ref="A21:B21"/>
    <mergeCell ref="C21:C24"/>
    <mergeCell ref="D21:D24"/>
    <mergeCell ref="E21:E24"/>
    <mergeCell ref="F21:F24"/>
    <mergeCell ref="G21:G24"/>
    <mergeCell ref="H21:H24"/>
    <mergeCell ref="AK17:AK20"/>
    <mergeCell ref="AL17:AL20"/>
    <mergeCell ref="AM17:AM20"/>
    <mergeCell ref="AN17:AN20"/>
    <mergeCell ref="AO17:AO20"/>
    <mergeCell ref="AP17:AP20"/>
    <mergeCell ref="AG16:AG20"/>
    <mergeCell ref="AH16:AH20"/>
    <mergeCell ref="AI16:AI20"/>
    <mergeCell ref="A17:A19"/>
    <mergeCell ref="O17:O20"/>
    <mergeCell ref="P17:P20"/>
    <mergeCell ref="Q17:Q20"/>
    <mergeCell ref="R17:R20"/>
    <mergeCell ref="A22:A24"/>
    <mergeCell ref="O22:O25"/>
    <mergeCell ref="P22:P25"/>
    <mergeCell ref="Q22:Q25"/>
    <mergeCell ref="R22:R25"/>
    <mergeCell ref="S22:S25"/>
    <mergeCell ref="T22:T25"/>
    <mergeCell ref="Z21:Z24"/>
    <mergeCell ref="AA21:AA24"/>
    <mergeCell ref="J21:J25"/>
    <mergeCell ref="K21:K25"/>
    <mergeCell ref="L21:L25"/>
    <mergeCell ref="M21:M25"/>
    <mergeCell ref="W21:X21"/>
    <mergeCell ref="Y21:Y24"/>
    <mergeCell ref="V22:V24"/>
    <mergeCell ref="W22:W24"/>
    <mergeCell ref="B22:B24"/>
    <mergeCell ref="AR22:AR24"/>
    <mergeCell ref="U25:V25"/>
    <mergeCell ref="AQ25:AR25"/>
    <mergeCell ref="AK22:AK25"/>
    <mergeCell ref="AL22:AL25"/>
    <mergeCell ref="AM22:AM25"/>
    <mergeCell ref="AN22:AN25"/>
    <mergeCell ref="AO22:AO25"/>
    <mergeCell ref="AP22:AP25"/>
    <mergeCell ref="AG21:AG25"/>
    <mergeCell ref="AH21:AH25"/>
    <mergeCell ref="AI21:AI25"/>
    <mergeCell ref="AB21:AB24"/>
    <mergeCell ref="AC21:AC24"/>
    <mergeCell ref="AD21:AD24"/>
    <mergeCell ref="AF21:AF25"/>
    <mergeCell ref="AQ22:AQ24"/>
    <mergeCell ref="X22:X24"/>
    <mergeCell ref="U22:U24"/>
    <mergeCell ref="AQ2:AQ4"/>
    <mergeCell ref="AQ12:AQ14"/>
    <mergeCell ref="X12:X14"/>
    <mergeCell ref="U12:U14"/>
    <mergeCell ref="B12:B14"/>
    <mergeCell ref="B17:B19"/>
    <mergeCell ref="U17:U19"/>
    <mergeCell ref="X17:X19"/>
    <mergeCell ref="AQ17:AQ19"/>
    <mergeCell ref="B7:B9"/>
    <mergeCell ref="U7:U9"/>
    <mergeCell ref="X7:X9"/>
    <mergeCell ref="AQ7:AQ9"/>
    <mergeCell ref="S17:S20"/>
    <mergeCell ref="T17:T20"/>
    <mergeCell ref="Z16:Z19"/>
    <mergeCell ref="AA16:AA19"/>
    <mergeCell ref="AB16:AB19"/>
    <mergeCell ref="AC16:AC19"/>
    <mergeCell ref="AD16:AD19"/>
    <mergeCell ref="AF16:AF20"/>
    <mergeCell ref="J16:J20"/>
    <mergeCell ref="K16:K20"/>
    <mergeCell ref="L16:L20"/>
  </mergeCells>
  <conditionalFormatting sqref="B2">
    <cfRule type="expression" dxfId="346" priority="346">
      <formula>$A$2="LIMER"</formula>
    </cfRule>
    <cfRule type="expression" dxfId="345" priority="350">
      <formula>$A$2="OBA"</formula>
    </cfRule>
    <cfRule type="expression" dxfId="344" priority="342">
      <formula>$A$2="SAULT"</formula>
    </cfRule>
  </conditionalFormatting>
  <conditionalFormatting sqref="B2:B4">
    <cfRule type="expression" dxfId="343" priority="345">
      <formula>$A$2="SEARCHMONT"</formula>
    </cfRule>
    <cfRule type="expression" dxfId="342" priority="344">
      <formula>$A$2="ETON"</formula>
    </cfRule>
    <cfRule type="expression" dxfId="341" priority="343">
      <formula>$A$2="PERRY"</formula>
    </cfRule>
    <cfRule type="expression" dxfId="340" priority="348">
      <formula>$A$2="FRANZ"</formula>
    </cfRule>
    <cfRule type="expression" dxfId="339" priority="352">
      <formula>$A$2="HEARST"</formula>
    </cfRule>
    <cfRule type="expression" dxfId="338" priority="351">
      <formula>$A$2="MEAD"</formula>
    </cfRule>
    <cfRule type="expression" dxfId="337" priority="349">
      <formula>$A$2="MOSHER"</formula>
    </cfRule>
    <cfRule type="expression" dxfId="336" priority="347">
      <formula>$A$2="DUBREUILVILLE"</formula>
    </cfRule>
    <cfRule type="expression" dxfId="335" priority="120">
      <formula>$A$2="MICHIPICOTEN"</formula>
    </cfRule>
    <cfRule type="expression" dxfId="334" priority="119">
      <formula>$A$2="WAWA"</formula>
    </cfRule>
    <cfRule type="expression" dxfId="333" priority="80">
      <formula>$A$2="TREMBLEY"</formula>
    </cfRule>
    <cfRule type="expression" dxfId="332" priority="60">
      <formula>$A$2="TATNALL"</formula>
    </cfRule>
    <cfRule type="expression" dxfId="331" priority="40">
      <formula>$A$2="MONTREAL FALLS"</formula>
    </cfRule>
    <cfRule type="expression" dxfId="330" priority="39">
      <formula>$A$2="FRATER"</formula>
    </cfRule>
  </conditionalFormatting>
  <conditionalFormatting sqref="B7">
    <cfRule type="expression" dxfId="329" priority="319">
      <formula>$A$7="SAULT"</formula>
    </cfRule>
    <cfRule type="expression" dxfId="328" priority="322">
      <formula>$A$7="LIMER"</formula>
    </cfRule>
    <cfRule type="expression" dxfId="327" priority="327">
      <formula>$A$7="OBA"</formula>
    </cfRule>
  </conditionalFormatting>
  <conditionalFormatting sqref="B7:B9">
    <cfRule type="expression" dxfId="326" priority="323">
      <formula>$A$7="PERRY"</formula>
    </cfRule>
    <cfRule type="expression" dxfId="325" priority="321">
      <formula>$A$7="ETON"</formula>
    </cfRule>
    <cfRule type="expression" dxfId="324" priority="320">
      <formula>$A$7="SEARCHMONT"</formula>
    </cfRule>
    <cfRule type="expression" dxfId="323" priority="324">
      <formula>$A$7="DUBREUILVILLE"</formula>
    </cfRule>
    <cfRule type="expression" dxfId="322" priority="325">
      <formula>$A$7="FRANZ"</formula>
    </cfRule>
    <cfRule type="expression" dxfId="321" priority="326">
      <formula>$A$7="MOSHER"</formula>
    </cfRule>
    <cfRule type="expression" dxfId="320" priority="328">
      <formula>$A$7="MEAD"</formula>
    </cfRule>
    <cfRule type="expression" dxfId="319" priority="329">
      <formula>$A$7="HEARST"</formula>
    </cfRule>
    <cfRule type="expression" dxfId="318" priority="116">
      <formula>$A$7="MICHIPICOTEN"</formula>
    </cfRule>
    <cfRule type="expression" dxfId="317" priority="96">
      <formula>$A$7="WAWA"</formula>
    </cfRule>
    <cfRule type="expression" dxfId="316" priority="76">
      <formula>$A$7="TREMBLEY"</formula>
    </cfRule>
    <cfRule type="expression" dxfId="315" priority="55">
      <formula>$A$7="TATNALL"</formula>
    </cfRule>
    <cfRule type="expression" dxfId="314" priority="36">
      <formula>$A$7="FRATER"</formula>
    </cfRule>
    <cfRule type="expression" dxfId="313" priority="35">
      <formula>$A$7="MONTREAL FALLS"</formula>
    </cfRule>
  </conditionalFormatting>
  <conditionalFormatting sqref="B12">
    <cfRule type="expression" dxfId="312" priority="308">
      <formula>$A$12="SAULT"</formula>
    </cfRule>
    <cfRule type="expression" dxfId="311" priority="317">
      <formula>$A$12="LIMER"</formula>
    </cfRule>
    <cfRule type="expression" dxfId="310" priority="318">
      <formula>$A$12="OBA"</formula>
    </cfRule>
  </conditionalFormatting>
  <conditionalFormatting sqref="B12:B14">
    <cfRule type="expression" dxfId="309" priority="311">
      <formula>$A$12="PERRY"</formula>
    </cfRule>
    <cfRule type="expression" dxfId="308" priority="310">
      <formula>$A$12="ETON"</formula>
    </cfRule>
    <cfRule type="expression" dxfId="307" priority="309">
      <formula>$A$12="SEARCHMONT"</formula>
    </cfRule>
    <cfRule type="expression" dxfId="306" priority="312">
      <formula>$A$12="DUBREUILVILLE"</formula>
    </cfRule>
    <cfRule type="expression" dxfId="305" priority="313">
      <formula>$A$12="FRANZ"</formula>
    </cfRule>
    <cfRule type="expression" dxfId="304" priority="314">
      <formula>$A$12="MOSHER"</formula>
    </cfRule>
    <cfRule type="expression" dxfId="303" priority="315">
      <formula>$A$12="MEAD"</formula>
    </cfRule>
    <cfRule type="expression" dxfId="302" priority="316">
      <formula>$A$12="HEARST"</formula>
    </cfRule>
    <cfRule type="expression" dxfId="301" priority="110">
      <formula>$A$12="MICHIPICOTEN"</formula>
    </cfRule>
    <cfRule type="expression" dxfId="300" priority="92">
      <formula>$A$12="WAWA"</formula>
    </cfRule>
    <cfRule type="expression" dxfId="299" priority="72">
      <formula>$A$12="TREMBLEY"</formula>
    </cfRule>
    <cfRule type="expression" dxfId="298" priority="52">
      <formula>$A$12="TATNALL"</formula>
    </cfRule>
    <cfRule type="expression" dxfId="297" priority="24">
      <formula>$A$12="FRATER"</formula>
    </cfRule>
    <cfRule type="expression" dxfId="296" priority="23">
      <formula>$A$12="MONTREAL FALLS"</formula>
    </cfRule>
  </conditionalFormatting>
  <conditionalFormatting sqref="B17">
    <cfRule type="expression" dxfId="295" priority="305">
      <formula>$A$17="SAULT"</formula>
    </cfRule>
    <cfRule type="expression" dxfId="294" priority="306">
      <formula>$A$17="LIMER"</formula>
    </cfRule>
    <cfRule type="expression" dxfId="293" priority="307">
      <formula>$A$17="OBA"</formula>
    </cfRule>
  </conditionalFormatting>
  <conditionalFormatting sqref="B17:B19">
    <cfRule type="expression" dxfId="292" priority="297">
      <formula>$A$17="PERRY"</formula>
    </cfRule>
    <cfRule type="expression" dxfId="291" priority="298">
      <formula>$A$17="ETON"</formula>
    </cfRule>
    <cfRule type="expression" dxfId="290" priority="299">
      <formula>$A$17="SEARCHMONT"</formula>
    </cfRule>
    <cfRule type="expression" dxfId="289" priority="300">
      <formula>$A$17="DUBREUILVILLE"</formula>
    </cfRule>
    <cfRule type="expression" dxfId="288" priority="301">
      <formula>$A$17="FRANZ"</formula>
    </cfRule>
    <cfRule type="expression" dxfId="287" priority="302">
      <formula>$A$17="MOSHER"</formula>
    </cfRule>
    <cfRule type="expression" dxfId="286" priority="303">
      <formula>$A$17="MEAD"</formula>
    </cfRule>
    <cfRule type="expression" dxfId="285" priority="304">
      <formula>$A$17="HEARST"</formula>
    </cfRule>
    <cfRule type="expression" dxfId="284" priority="106">
      <formula>$A$17="MICHIPICOTEN"</formula>
    </cfRule>
    <cfRule type="expression" dxfId="283" priority="88">
      <formula>$A$17="WAWA"</formula>
    </cfRule>
    <cfRule type="expression" dxfId="282" priority="68">
      <formula>$A$17="TREMBLEY"</formula>
    </cfRule>
    <cfRule type="expression" dxfId="281" priority="48">
      <formula>$A$17="TATNALL"</formula>
    </cfRule>
    <cfRule type="expression" dxfId="280" priority="10">
      <formula>$A$17="FRATER"</formula>
    </cfRule>
    <cfRule type="expression" dxfId="279" priority="9">
      <formula>$A$17="MONTREAL FALLS"</formula>
    </cfRule>
  </conditionalFormatting>
  <conditionalFormatting sqref="B22">
    <cfRule type="expression" dxfId="278" priority="294">
      <formula>$A$22="SAULT"</formula>
    </cfRule>
    <cfRule type="expression" dxfId="277" priority="295">
      <formula>$A$22="LIMER"</formula>
    </cfRule>
    <cfRule type="expression" dxfId="276" priority="296">
      <formula>$A$22="OBA"</formula>
    </cfRule>
  </conditionalFormatting>
  <conditionalFormatting sqref="B22:B24">
    <cfRule type="expression" dxfId="275" priority="286">
      <formula>$A$22="PERRY"</formula>
    </cfRule>
    <cfRule type="expression" dxfId="274" priority="287">
      <formula>$A$22="ETON"</formula>
    </cfRule>
    <cfRule type="expression" dxfId="273" priority="288">
      <formula>$A$22="SEARCHMONT"</formula>
    </cfRule>
    <cfRule type="expression" dxfId="272" priority="289">
      <formula>$A$22="DUBREUILVILLE"</formula>
    </cfRule>
    <cfRule type="expression" dxfId="271" priority="290">
      <formula>$A$22="FRANZ"</formula>
    </cfRule>
    <cfRule type="expression" dxfId="270" priority="291">
      <formula>$A$22="MOSHER"</formula>
    </cfRule>
    <cfRule type="expression" dxfId="269" priority="292">
      <formula>$A$22="MEAD"</formula>
    </cfRule>
    <cfRule type="expression" dxfId="268" priority="293">
      <formula>$A$22="HEARST"</formula>
    </cfRule>
    <cfRule type="expression" dxfId="267" priority="102">
      <formula>$A$22="MICHIPICOTEN"</formula>
    </cfRule>
    <cfRule type="expression" dxfId="266" priority="84">
      <formula>$A$22="WAWA"</formula>
    </cfRule>
    <cfRule type="expression" dxfId="265" priority="64">
      <formula>$A$22="TREMBLEY"</formula>
    </cfRule>
    <cfRule type="expression" dxfId="264" priority="44">
      <formula>$A$22="TATNALL"</formula>
    </cfRule>
    <cfRule type="expression" dxfId="263" priority="12">
      <formula>$A$22="FRATER"</formula>
    </cfRule>
    <cfRule type="expression" dxfId="262" priority="11">
      <formula>$A$22="MONTREAL FALLS"</formula>
    </cfRule>
  </conditionalFormatting>
  <conditionalFormatting sqref="X22">
    <cfRule type="expression" dxfId="261" priority="283">
      <formula>$W$22="SAULT"</formula>
    </cfRule>
    <cfRule type="expression" dxfId="260" priority="284">
      <formula>$W$22="LIMER"</formula>
    </cfRule>
    <cfRule type="expression" dxfId="259" priority="285">
      <formula>$W$22="OBA"</formula>
    </cfRule>
  </conditionalFormatting>
  <conditionalFormatting sqref="X22:X24">
    <cfRule type="expression" dxfId="258" priority="275">
      <formula>$W$22="PERRY"</formula>
    </cfRule>
    <cfRule type="expression" dxfId="257" priority="276">
      <formula>$W$22="ETON"</formula>
    </cfRule>
    <cfRule type="expression" dxfId="256" priority="277">
      <formula>$W$22="SEARCHMONT"</formula>
    </cfRule>
    <cfRule type="expression" dxfId="255" priority="278">
      <formula>$W$22="DUBREUILVILLE"</formula>
    </cfRule>
    <cfRule type="expression" dxfId="254" priority="279">
      <formula>$W$22="FRANZ"</formula>
    </cfRule>
    <cfRule type="expression" dxfId="253" priority="280">
      <formula>$W$22="MOSHER"</formula>
    </cfRule>
    <cfRule type="expression" dxfId="252" priority="281">
      <formula>$W$22="MEAD"</formula>
    </cfRule>
    <cfRule type="expression" dxfId="251" priority="282">
      <formula>$W$22="HEARST"</formula>
    </cfRule>
    <cfRule type="expression" dxfId="250" priority="100">
      <formula>$W$22="MICHIPICOTEN"</formula>
    </cfRule>
    <cfRule type="expression" dxfId="249" priority="82">
      <formula>$W$22="WAWA"</formula>
    </cfRule>
    <cfRule type="expression" dxfId="248" priority="62">
      <formula>$W$22="TREMBLEY"</formula>
    </cfRule>
    <cfRule type="expression" dxfId="247" priority="42">
      <formula>$W$22="TATNALL"</formula>
    </cfRule>
    <cfRule type="expression" dxfId="246" priority="14">
      <formula>$W$22="FRATER"</formula>
    </cfRule>
    <cfRule type="expression" dxfId="245" priority="13">
      <formula>$W$22="MONTREAL FALLS"</formula>
    </cfRule>
  </conditionalFormatting>
  <conditionalFormatting sqref="X17">
    <cfRule type="expression" dxfId="244" priority="272">
      <formula>$W$17="SAULT"</formula>
    </cfRule>
    <cfRule type="expression" dxfId="243" priority="273">
      <formula>$W$17="LIMER"</formula>
    </cfRule>
    <cfRule type="expression" dxfId="242" priority="274">
      <formula>$W$17="OBA"</formula>
    </cfRule>
  </conditionalFormatting>
  <conditionalFormatting sqref="X17:X19">
    <cfRule type="expression" dxfId="241" priority="264">
      <formula>$W$17="PERRY"</formula>
    </cfRule>
    <cfRule type="expression" dxfId="240" priority="265">
      <formula>$W$17="ETON"</formula>
    </cfRule>
    <cfRule type="expression" dxfId="239" priority="266">
      <formula>$W$17="SEARCHMONT"</formula>
    </cfRule>
    <cfRule type="expression" dxfId="238" priority="267">
      <formula>$W$17="DUBREUILVILLE"</formula>
    </cfRule>
    <cfRule type="expression" dxfId="237" priority="268">
      <formula>$W$17="FRANZ"</formula>
    </cfRule>
    <cfRule type="expression" dxfId="236" priority="269">
      <formula>$W$17="MOSHER"</formula>
    </cfRule>
    <cfRule type="expression" dxfId="235" priority="270">
      <formula>$W$17="MEAD"</formula>
    </cfRule>
    <cfRule type="expression" dxfId="234" priority="271">
      <formula>$W$17="HEARST"</formula>
    </cfRule>
    <cfRule type="expression" dxfId="233" priority="104">
      <formula>$W$17="MICHIPICOTEN"</formula>
    </cfRule>
    <cfRule type="expression" dxfId="232" priority="86">
      <formula>$W$17="WAWA"</formula>
    </cfRule>
    <cfRule type="expression" dxfId="231" priority="66">
      <formula>$W$17="TREMBLEY"</formula>
    </cfRule>
    <cfRule type="expression" dxfId="230" priority="46">
      <formula>$W$17="TATNALL"</formula>
    </cfRule>
    <cfRule type="expression" dxfId="229" priority="16">
      <formula>$W$17="FRATER"</formula>
    </cfRule>
    <cfRule type="expression" dxfId="228" priority="15">
      <formula>$W$17="MONTREAL FALLS"</formula>
    </cfRule>
  </conditionalFormatting>
  <conditionalFormatting sqref="U22">
    <cfRule type="expression" dxfId="227" priority="261">
      <formula>$V$22="SAULT"</formula>
    </cfRule>
    <cfRule type="expression" dxfId="226" priority="262">
      <formula>$V$22="LIMER"</formula>
    </cfRule>
    <cfRule type="expression" dxfId="225" priority="263">
      <formula>$V$22="OBA"</formula>
    </cfRule>
  </conditionalFormatting>
  <conditionalFormatting sqref="U22:U24">
    <cfRule type="expression" dxfId="224" priority="253">
      <formula>$V$22="PERRY"</formula>
    </cfRule>
    <cfRule type="expression" dxfId="223" priority="254">
      <formula>$V$22="ETON"</formula>
    </cfRule>
    <cfRule type="expression" dxfId="222" priority="255">
      <formula>$V$22="SEARCHMONT"</formula>
    </cfRule>
    <cfRule type="expression" dxfId="221" priority="256">
      <formula>$V$22="DUBREUILVILLE"</formula>
    </cfRule>
    <cfRule type="expression" dxfId="220" priority="257">
      <formula>$V$22="FRANZ"</formula>
    </cfRule>
    <cfRule type="expression" dxfId="219" priority="258">
      <formula>$V$22="MOSHER"</formula>
    </cfRule>
    <cfRule type="expression" dxfId="218" priority="259">
      <formula>$V$22="MEAD"</formula>
    </cfRule>
    <cfRule type="expression" dxfId="217" priority="260">
      <formula>$V$22="HEARST"</formula>
    </cfRule>
    <cfRule type="expression" dxfId="216" priority="101">
      <formula>$V$22="MICHIPICOTEN"</formula>
    </cfRule>
    <cfRule type="expression" dxfId="215" priority="83">
      <formula>$V$22="WAWA"</formula>
    </cfRule>
    <cfRule type="expression" dxfId="214" priority="63">
      <formula>$V$22="TREMBLEY"</formula>
    </cfRule>
    <cfRule type="expression" dxfId="213" priority="43">
      <formula>$V$22="TATNALL"</formula>
    </cfRule>
    <cfRule type="expression" dxfId="212" priority="2">
      <formula>$V$22="FRATER"</formula>
    </cfRule>
    <cfRule type="expression" dxfId="211" priority="1">
      <formula>$V$22="MONTREAL FALLS"</formula>
    </cfRule>
  </conditionalFormatting>
  <conditionalFormatting sqref="U17">
    <cfRule type="expression" dxfId="210" priority="250">
      <formula>$V$17="SAULT"</formula>
    </cfRule>
    <cfRule type="expression" dxfId="209" priority="251">
      <formula>$V$17="LIMER"</formula>
    </cfRule>
    <cfRule type="expression" dxfId="208" priority="252">
      <formula>$V$17="OBA"</formula>
    </cfRule>
  </conditionalFormatting>
  <conditionalFormatting sqref="U17:U19">
    <cfRule type="expression" dxfId="207" priority="242">
      <formula>$V$17="PERRY"</formula>
    </cfRule>
    <cfRule type="expression" dxfId="206" priority="243">
      <formula>$V$17="ETON"</formula>
    </cfRule>
    <cfRule type="expression" dxfId="205" priority="244">
      <formula>$V$17="SEARCHMONT"</formula>
    </cfRule>
    <cfRule type="expression" dxfId="204" priority="245">
      <formula>$V$17="DUBREUILVILLE"</formula>
    </cfRule>
    <cfRule type="expression" dxfId="203" priority="246">
      <formula>$V$17="FRANZ"</formula>
    </cfRule>
    <cfRule type="expression" dxfId="202" priority="247">
      <formula>$V$17="MOSHER"</formula>
    </cfRule>
    <cfRule type="expression" dxfId="201" priority="248">
      <formula>$V$17="MEAD"</formula>
    </cfRule>
    <cfRule type="expression" dxfId="200" priority="249">
      <formula>$V$17="HEARST"</formula>
    </cfRule>
    <cfRule type="expression" dxfId="199" priority="105">
      <formula>$V$17="MICHIPICOTEN"</formula>
    </cfRule>
    <cfRule type="expression" dxfId="198" priority="87">
      <formula>$V$17="WAWA"</formula>
    </cfRule>
    <cfRule type="expression" dxfId="197" priority="67">
      <formula>$V$17="TREMBLEY"</formula>
    </cfRule>
    <cfRule type="expression" dxfId="196" priority="47">
      <formula>$V$17="TATNALL"</formula>
    </cfRule>
    <cfRule type="expression" dxfId="195" priority="8">
      <formula>$V$17="FRATER"</formula>
    </cfRule>
    <cfRule type="expression" dxfId="194" priority="7">
      <formula>$V$17="MONTREAL FALLS"</formula>
    </cfRule>
  </conditionalFormatting>
  <conditionalFormatting sqref="AQ22">
    <cfRule type="expression" dxfId="193" priority="239">
      <formula>$AR$22="SAULT"</formula>
    </cfRule>
    <cfRule type="expression" dxfId="192" priority="240">
      <formula>$AR$22="LIMER"</formula>
    </cfRule>
    <cfRule type="expression" dxfId="191" priority="241">
      <formula>$AR$22="OBA"</formula>
    </cfRule>
  </conditionalFormatting>
  <conditionalFormatting sqref="AQ22:AQ24">
    <cfRule type="expression" dxfId="190" priority="231">
      <formula>$AR$22="PERRY"</formula>
    </cfRule>
    <cfRule type="expression" dxfId="189" priority="232">
      <formula>$AR$22="ETON"</formula>
    </cfRule>
    <cfRule type="expression" dxfId="188" priority="233">
      <formula>$AR$22="SEARCHMONT"</formula>
    </cfRule>
    <cfRule type="expression" dxfId="187" priority="234">
      <formula>$AR$22="DUBREUILVILLE"</formula>
    </cfRule>
    <cfRule type="expression" dxfId="186" priority="235">
      <formula>$AR$22="FRANZ"</formula>
    </cfRule>
    <cfRule type="expression" dxfId="185" priority="236">
      <formula>$AR$22="MOSHER"</formula>
    </cfRule>
    <cfRule type="expression" dxfId="184" priority="237">
      <formula>$AR$22="MEAD"</formula>
    </cfRule>
    <cfRule type="expression" dxfId="183" priority="238">
      <formula>$AR$22="HEARST"</formula>
    </cfRule>
    <cfRule type="expression" dxfId="182" priority="99">
      <formula>$AR$22="MICHIPICOTEN"</formula>
    </cfRule>
    <cfRule type="expression" dxfId="181" priority="81">
      <formula>$AR$22="WAWA"</formula>
    </cfRule>
    <cfRule type="expression" dxfId="180" priority="61">
      <formula>$AR$22="TREMBLEY"</formula>
    </cfRule>
    <cfRule type="expression" dxfId="179" priority="41">
      <formula>$AR$22="TATNALL"</formula>
    </cfRule>
    <cfRule type="expression" dxfId="178" priority="4">
      <formula>$AR$22="FRATER"</formula>
    </cfRule>
    <cfRule type="expression" dxfId="177" priority="3">
      <formula>$AR$22="MONTREAL FALLS"</formula>
    </cfRule>
  </conditionalFormatting>
  <conditionalFormatting sqref="AQ17">
    <cfRule type="expression" dxfId="176" priority="228">
      <formula>$AR$17="SAULT"</formula>
    </cfRule>
    <cfRule type="expression" dxfId="175" priority="229">
      <formula>$AR$17="LIMER"</formula>
    </cfRule>
    <cfRule type="expression" dxfId="174" priority="230">
      <formula>$AR$17="OBA"</formula>
    </cfRule>
  </conditionalFormatting>
  <conditionalFormatting sqref="AQ17:AQ19">
    <cfRule type="expression" dxfId="173" priority="220">
      <formula>$AR$17="PERRY"</formula>
    </cfRule>
    <cfRule type="expression" dxfId="172" priority="221">
      <formula>$AR$17="ETON"</formula>
    </cfRule>
    <cfRule type="expression" dxfId="171" priority="222">
      <formula>$AR$17="SEARCHMONT"</formula>
    </cfRule>
    <cfRule type="expression" dxfId="170" priority="223">
      <formula>$AR$17="DUBREUILVILLE"</formula>
    </cfRule>
    <cfRule type="expression" dxfId="169" priority="224">
      <formula>$AR$17="FRANZ"</formula>
    </cfRule>
    <cfRule type="expression" dxfId="168" priority="225">
      <formula>$AR$17="MOSHER"</formula>
    </cfRule>
    <cfRule type="expression" dxfId="167" priority="226">
      <formula>$AR$17="MEAD"</formula>
    </cfRule>
    <cfRule type="expression" dxfId="166" priority="227">
      <formula>$AR$17="HEARST"</formula>
    </cfRule>
    <cfRule type="expression" dxfId="165" priority="103">
      <formula>$AR$17="MICHIPICOTEN"</formula>
    </cfRule>
    <cfRule type="expression" dxfId="164" priority="85">
      <formula>$AR$17="WAWA"</formula>
    </cfRule>
    <cfRule type="expression" dxfId="163" priority="65">
      <formula>$AR$17="TREMBLEY"</formula>
    </cfRule>
    <cfRule type="expression" dxfId="162" priority="45">
      <formula>$AR$17="TATNALL"</formula>
    </cfRule>
    <cfRule type="expression" dxfId="161" priority="6">
      <formula>$AR$17="FRATER"</formula>
    </cfRule>
    <cfRule type="expression" dxfId="160" priority="5">
      <formula>$AR$17="MONTREAL FALLS"</formula>
    </cfRule>
  </conditionalFormatting>
  <conditionalFormatting sqref="AQ12">
    <cfRule type="expression" dxfId="159" priority="217">
      <formula>$AR$12="SAULT"</formula>
    </cfRule>
    <cfRule type="expression" dxfId="158" priority="218">
      <formula>$AR$12="LIMER"</formula>
    </cfRule>
    <cfRule type="expression" dxfId="157" priority="219">
      <formula>$AR$12="OBA"</formula>
    </cfRule>
  </conditionalFormatting>
  <conditionalFormatting sqref="AQ12:AQ14">
    <cfRule type="expression" dxfId="156" priority="209">
      <formula>$AR$12="PERRY"</formula>
    </cfRule>
    <cfRule type="expression" dxfId="155" priority="210">
      <formula>$AR$12="ETON"</formula>
    </cfRule>
    <cfRule type="expression" dxfId="154" priority="211">
      <formula>$AR$12="SEARCHMONT"</formula>
    </cfRule>
    <cfRule type="expression" dxfId="153" priority="212">
      <formula>$AR$12="DUBREUILVILLE"</formula>
    </cfRule>
    <cfRule type="expression" dxfId="152" priority="213">
      <formula>$AR$12="FRANZ"</formula>
    </cfRule>
    <cfRule type="expression" dxfId="151" priority="214">
      <formula>$AR$12="MOSHER"</formula>
    </cfRule>
    <cfRule type="expression" dxfId="150" priority="215">
      <formula>$AR$12="MEAD"</formula>
    </cfRule>
    <cfRule type="expression" dxfId="149" priority="216">
      <formula>$AR$12="HEARST"</formula>
    </cfRule>
    <cfRule type="expression" dxfId="148" priority="107">
      <formula>$AR$12="MICHIPICOTEN"</formula>
    </cfRule>
    <cfRule type="expression" dxfId="147" priority="89">
      <formula>$AR$12="WAWA"</formula>
    </cfRule>
    <cfRule type="expression" dxfId="146" priority="69">
      <formula>$AR$12="TREMBLEY"</formula>
    </cfRule>
    <cfRule type="expression" dxfId="145" priority="49">
      <formula>$AR$12="TATNALL"</formula>
    </cfRule>
    <cfRule type="expression" dxfId="144" priority="18">
      <formula>$AR$12="FRATER"</formula>
    </cfRule>
    <cfRule type="expression" dxfId="143" priority="17">
      <formula>$AR$12="MONTREAL FALLS"</formula>
    </cfRule>
  </conditionalFormatting>
  <conditionalFormatting sqref="X12">
    <cfRule type="expression" dxfId="142" priority="206">
      <formula>$W$12="SAULT"</formula>
    </cfRule>
    <cfRule type="expression" dxfId="141" priority="207">
      <formula>$W$12="LIMER"</formula>
    </cfRule>
    <cfRule type="expression" dxfId="140" priority="208">
      <formula>$W$12="OBA"</formula>
    </cfRule>
  </conditionalFormatting>
  <conditionalFormatting sqref="X12:X14">
    <cfRule type="expression" dxfId="139" priority="198">
      <formula>$W$12="PERRY"</formula>
    </cfRule>
    <cfRule type="expression" dxfId="138" priority="199">
      <formula>$W$12="ETON"</formula>
    </cfRule>
    <cfRule type="expression" dxfId="137" priority="200">
      <formula>$W$12="SEARCHMONT"</formula>
    </cfRule>
    <cfRule type="expression" dxfId="136" priority="201">
      <formula>$W$12="DUBREUILVILLE"</formula>
    </cfRule>
    <cfRule type="expression" dxfId="135" priority="202">
      <formula>$W$12="FRANZ"</formula>
    </cfRule>
    <cfRule type="expression" dxfId="134" priority="203">
      <formula>$W$12="MOSHER"</formula>
    </cfRule>
    <cfRule type="expression" dxfId="133" priority="204">
      <formula>$W$12="MEAD"</formula>
    </cfRule>
    <cfRule type="expression" dxfId="132" priority="205">
      <formula>$W$12="HEARST"</formula>
    </cfRule>
    <cfRule type="expression" dxfId="131" priority="108">
      <formula>$W$12="MICHIPICOTEN"</formula>
    </cfRule>
    <cfRule type="expression" dxfId="130" priority="90">
      <formula>$W$12="WAWA"</formula>
    </cfRule>
    <cfRule type="expression" dxfId="129" priority="70">
      <formula>$W$12="TREMBLEY"</formula>
    </cfRule>
    <cfRule type="expression" dxfId="128" priority="50">
      <formula>W$12="TATNALL"</formula>
    </cfRule>
    <cfRule type="expression" dxfId="127" priority="20">
      <formula>$W$12="FRATER"</formula>
    </cfRule>
    <cfRule type="expression" dxfId="126" priority="19">
      <formula>$W$12="MONTREAL FALLS"</formula>
    </cfRule>
  </conditionalFormatting>
  <conditionalFormatting sqref="U12">
    <cfRule type="expression" dxfId="125" priority="195">
      <formula>$V$12="SAULT"</formula>
    </cfRule>
    <cfRule type="expression" dxfId="124" priority="196">
      <formula>$V$12="LIMER"</formula>
    </cfRule>
    <cfRule type="expression" dxfId="123" priority="197">
      <formula>$V$12="OBA"</formula>
    </cfRule>
  </conditionalFormatting>
  <conditionalFormatting sqref="U12:U14">
    <cfRule type="expression" dxfId="122" priority="187">
      <formula>$V$12="PERRY"</formula>
    </cfRule>
    <cfRule type="expression" dxfId="121" priority="188">
      <formula>$V$12="ETON"</formula>
    </cfRule>
    <cfRule type="expression" dxfId="120" priority="189">
      <formula>$V$12="SEARCHMONT"</formula>
    </cfRule>
    <cfRule type="expression" dxfId="119" priority="190">
      <formula>$V$12="DUBREUILVILLE"</formula>
    </cfRule>
    <cfRule type="expression" dxfId="118" priority="191">
      <formula>$V$12="FRANZ"</formula>
    </cfRule>
    <cfRule type="expression" dxfId="117" priority="192">
      <formula>$V$12="MOSHER"</formula>
    </cfRule>
    <cfRule type="expression" dxfId="116" priority="193">
      <formula>$V$12="MEAD"</formula>
    </cfRule>
    <cfRule type="expression" dxfId="115" priority="194">
      <formula>$V$12="HEARST"</formula>
    </cfRule>
    <cfRule type="expression" dxfId="114" priority="109">
      <formula>$V$12="MICHIPICOTEN"</formula>
    </cfRule>
    <cfRule type="expression" dxfId="113" priority="91">
      <formula>$V$12="WAWA"</formula>
    </cfRule>
    <cfRule type="expression" dxfId="112" priority="71">
      <formula>$V$12="TREMBLEY"</formula>
    </cfRule>
    <cfRule type="expression" dxfId="111" priority="51">
      <formula>$V$12="TATNALL"</formula>
    </cfRule>
    <cfRule type="expression" dxfId="110" priority="22">
      <formula>$V$12="FRATER"</formula>
    </cfRule>
    <cfRule type="expression" dxfId="109" priority="21">
      <formula>$V$12="MONTREAL FALLS"</formula>
    </cfRule>
  </conditionalFormatting>
  <conditionalFormatting sqref="U7">
    <cfRule type="expression" dxfId="108" priority="184">
      <formula>$V$7="SAULT"</formula>
    </cfRule>
    <cfRule type="expression" dxfId="107" priority="185">
      <formula>$V$7="LIMER"</formula>
    </cfRule>
    <cfRule type="expression" dxfId="106" priority="186">
      <formula>$V$7="OBA"</formula>
    </cfRule>
  </conditionalFormatting>
  <conditionalFormatting sqref="U7:U9">
    <cfRule type="expression" dxfId="105" priority="176">
      <formula>$V$7="PERRY"</formula>
    </cfRule>
    <cfRule type="expression" dxfId="104" priority="177">
      <formula>$V$7="ETON"</formula>
    </cfRule>
    <cfRule type="expression" dxfId="103" priority="178">
      <formula>$V$7="SEARCHMONT"</formula>
    </cfRule>
    <cfRule type="expression" dxfId="102" priority="179">
      <formula>$V$7="DUBREUILVILLE"</formula>
    </cfRule>
    <cfRule type="expression" dxfId="101" priority="180">
      <formula>$V$7="FRANZ"</formula>
    </cfRule>
    <cfRule type="expression" dxfId="100" priority="181">
      <formula>$V$7="MOSHER"</formula>
    </cfRule>
    <cfRule type="expression" dxfId="99" priority="182">
      <formula>$V$7="MEAD"</formula>
    </cfRule>
    <cfRule type="expression" dxfId="98" priority="183">
      <formula>$V$7="HEARST"</formula>
    </cfRule>
    <cfRule type="expression" dxfId="97" priority="113">
      <formula>$V$7="MICHIPICOTEN"</formula>
    </cfRule>
    <cfRule type="expression" dxfId="96" priority="95">
      <formula>$V$7="WAWA"</formula>
    </cfRule>
    <cfRule type="expression" dxfId="95" priority="75">
      <formula>$V$7="TREMBLEY"</formula>
    </cfRule>
    <cfRule type="expression" dxfId="94" priority="54">
      <formula>$V$7="TATNALL"</formula>
    </cfRule>
    <cfRule type="expression" dxfId="93" priority="34">
      <formula>$V$7="FRATER"</formula>
    </cfRule>
    <cfRule type="expression" dxfId="92" priority="33">
      <formula>$V$7="MONTREAL FALLS"</formula>
    </cfRule>
  </conditionalFormatting>
  <conditionalFormatting sqref="X7">
    <cfRule type="expression" dxfId="91" priority="173">
      <formula>$W$7="SAULT"</formula>
    </cfRule>
    <cfRule type="expression" dxfId="90" priority="174">
      <formula>$W$7="LIMER"</formula>
    </cfRule>
    <cfRule type="expression" dxfId="89" priority="175">
      <formula>$W$7="OBA"</formula>
    </cfRule>
  </conditionalFormatting>
  <conditionalFormatting sqref="X7:X9">
    <cfRule type="expression" dxfId="88" priority="165">
      <formula>$W$7="PERRY"</formula>
    </cfRule>
    <cfRule type="expression" dxfId="87" priority="166">
      <formula>$W$7="ETON"</formula>
    </cfRule>
    <cfRule type="expression" dxfId="86" priority="167">
      <formula>$W$7="SEARCHMONT"</formula>
    </cfRule>
    <cfRule type="expression" dxfId="85" priority="168">
      <formula>$W$7="DUBREUILVILLE"</formula>
    </cfRule>
    <cfRule type="expression" dxfId="84" priority="169">
      <formula>$W$7="FRANZ"</formula>
    </cfRule>
    <cfRule type="expression" dxfId="83" priority="170">
      <formula>$W$7="MOSHER"</formula>
    </cfRule>
    <cfRule type="expression" dxfId="82" priority="171">
      <formula>$W$7="MEAD"</formula>
    </cfRule>
    <cfRule type="expression" dxfId="81" priority="172">
      <formula>$W$7="HEARST"</formula>
    </cfRule>
    <cfRule type="expression" dxfId="80" priority="112">
      <formula>$W$7="MICHIPICOTEN"</formula>
    </cfRule>
    <cfRule type="expression" dxfId="79" priority="94">
      <formula>$W$7="WAWA"</formula>
    </cfRule>
    <cfRule type="expression" dxfId="78" priority="74">
      <formula>$W$7="TREMBLEY"</formula>
    </cfRule>
    <cfRule type="expression" dxfId="77" priority="26">
      <formula>$W$7="FRATER"</formula>
    </cfRule>
    <cfRule type="expression" dxfId="76" priority="25">
      <formula>$W$7="MONTREAL FALLS"</formula>
    </cfRule>
  </conditionalFormatting>
  <conditionalFormatting sqref="AQ7">
    <cfRule type="expression" dxfId="75" priority="162">
      <formula>$AR$7="SAULT"</formula>
    </cfRule>
    <cfRule type="expression" dxfId="74" priority="163">
      <formula>$AR$7="LIMER"</formula>
    </cfRule>
    <cfRule type="expression" dxfId="73" priority="164">
      <formula>$AR$7="OBA"</formula>
    </cfRule>
  </conditionalFormatting>
  <conditionalFormatting sqref="AQ7:AQ9">
    <cfRule type="expression" dxfId="72" priority="154">
      <formula>$AR$7="PERRY"</formula>
    </cfRule>
    <cfRule type="expression" dxfId="71" priority="155">
      <formula>$AR$7="ETON"</formula>
    </cfRule>
    <cfRule type="expression" dxfId="70" priority="156">
      <formula>$AR$7="SEARCHMONT"</formula>
    </cfRule>
    <cfRule type="expression" dxfId="69" priority="157">
      <formula>$AR$7="DUBREUILVILLE"</formula>
    </cfRule>
    <cfRule type="expression" dxfId="68" priority="158">
      <formula>$AR$7="FRANZ"</formula>
    </cfRule>
    <cfRule type="expression" dxfId="67" priority="159">
      <formula>$AR$7="MOSHER"</formula>
    </cfRule>
    <cfRule type="expression" dxfId="66" priority="160">
      <formula>$AR$7="MEAD"</formula>
    </cfRule>
    <cfRule type="expression" dxfId="65" priority="161">
      <formula>$AR$7="HEARST"</formula>
    </cfRule>
    <cfRule type="expression" dxfId="64" priority="111">
      <formula>$AR$7="MICHIPICOTEN"</formula>
    </cfRule>
    <cfRule type="expression" dxfId="63" priority="93">
      <formula>$AR$7="WAWA"</formula>
    </cfRule>
    <cfRule type="expression" dxfId="62" priority="73">
      <formula>$AR$7="TREMBLEY"</formula>
    </cfRule>
    <cfRule type="expression" dxfId="61" priority="53">
      <formula>$AR$7="TATNALL"</formula>
    </cfRule>
    <cfRule type="expression" dxfId="60" priority="28">
      <formula>$AR$7="FRATER"</formula>
    </cfRule>
    <cfRule type="expression" dxfId="59" priority="27">
      <formula>$AR$7="MONTREAL FALLS"</formula>
    </cfRule>
  </conditionalFormatting>
  <conditionalFormatting sqref="AQ2">
    <cfRule type="expression" dxfId="58" priority="151">
      <formula>$AR$2="SAULT"</formula>
    </cfRule>
    <cfRule type="expression" dxfId="57" priority="152">
      <formula>$AR$2="LIMER"</formula>
    </cfRule>
    <cfRule type="expression" dxfId="56" priority="153">
      <formula>$AR$2="OBA"</formula>
    </cfRule>
  </conditionalFormatting>
  <conditionalFormatting sqref="AQ2:AQ4">
    <cfRule type="expression" dxfId="55" priority="143">
      <formula>$AR$2="PERRY"</formula>
    </cfRule>
    <cfRule type="expression" dxfId="54" priority="144">
      <formula>$AR$2="ETON"</formula>
    </cfRule>
    <cfRule type="expression" dxfId="53" priority="145">
      <formula>$AR$2="SEARCHMONT"</formula>
    </cfRule>
    <cfRule type="expression" dxfId="52" priority="146">
      <formula>$AR$2="DUBREUILVILLE"</formula>
    </cfRule>
    <cfRule type="expression" dxfId="51" priority="147">
      <formula>$AR$2="FRANZ"</formula>
    </cfRule>
    <cfRule type="expression" dxfId="50" priority="148">
      <formula>$AR$2="MOSHER"</formula>
    </cfRule>
    <cfRule type="expression" dxfId="49" priority="149">
      <formula>$AR$2="MEAD"</formula>
    </cfRule>
    <cfRule type="expression" dxfId="48" priority="150">
      <formula>$AR$2="HEARST"</formula>
    </cfRule>
    <cfRule type="expression" dxfId="47" priority="114">
      <formula>$AR$2="MICHIPICOTEN"</formula>
    </cfRule>
    <cfRule type="expression" dxfId="46" priority="97">
      <formula>$AR$2="WAWA"</formula>
    </cfRule>
    <cfRule type="expression" dxfId="45" priority="77">
      <formula>$AR$2="TREMBLEY"</formula>
    </cfRule>
    <cfRule type="expression" dxfId="44" priority="56">
      <formula>$AR$2="TATNALL"</formula>
    </cfRule>
    <cfRule type="expression" dxfId="43" priority="30">
      <formula>$AR$2="FRATER"</formula>
    </cfRule>
    <cfRule type="expression" dxfId="42" priority="29">
      <formula>$AR$2="MONTREAL FALLS"</formula>
    </cfRule>
  </conditionalFormatting>
  <conditionalFormatting sqref="X2">
    <cfRule type="expression" dxfId="41" priority="140">
      <formula>$W$2="SAULT"</formula>
    </cfRule>
    <cfRule type="expression" dxfId="40" priority="141">
      <formula>$W$2="LIMER"</formula>
    </cfRule>
    <cfRule type="expression" dxfId="39" priority="142">
      <formula>$W$2="OBA"</formula>
    </cfRule>
  </conditionalFormatting>
  <conditionalFormatting sqref="X2:X4">
    <cfRule type="expression" dxfId="38" priority="132">
      <formula>$W$2="PERRY"</formula>
    </cfRule>
    <cfRule type="expression" dxfId="37" priority="133">
      <formula>$W$2="ETON"</formula>
    </cfRule>
    <cfRule type="expression" dxfId="36" priority="134">
      <formula>$W$2="SEARCHMONT"</formula>
    </cfRule>
    <cfRule type="expression" dxfId="35" priority="135">
      <formula>$W$2="DUBREUILVILLE"</formula>
    </cfRule>
    <cfRule type="expression" dxfId="34" priority="136">
      <formula>$W$2="FRANZ"</formula>
    </cfRule>
    <cfRule type="expression" dxfId="33" priority="137">
      <formula>$W$2="MOSHER"</formula>
    </cfRule>
    <cfRule type="expression" dxfId="32" priority="138">
      <formula>$W$2="MEAD"</formula>
    </cfRule>
    <cfRule type="expression" dxfId="31" priority="139">
      <formula>$W$2="HEARST"</formula>
    </cfRule>
    <cfRule type="expression" dxfId="30" priority="115">
      <formula>$W$2="MICHIPICOTEN"</formula>
    </cfRule>
    <cfRule type="expression" dxfId="29" priority="98">
      <formula>$W$2="WAWA"</formula>
    </cfRule>
    <cfRule type="expression" dxfId="28" priority="78">
      <formula>$W$2="TREMBLEY"</formula>
    </cfRule>
    <cfRule type="expression" dxfId="27" priority="57">
      <formula>$W$2="TATNALL"</formula>
    </cfRule>
    <cfRule type="expression" dxfId="26" priority="32">
      <formula>$W$2="FRATER"</formula>
    </cfRule>
    <cfRule type="expression" dxfId="25" priority="31">
      <formula>$W$2="MONTREAL FALLS"</formula>
    </cfRule>
  </conditionalFormatting>
  <conditionalFormatting sqref="U2">
    <cfRule type="expression" dxfId="24" priority="129">
      <formula>$V$2="SAULT"</formula>
    </cfRule>
    <cfRule type="expression" dxfId="23" priority="130">
      <formula>$V$2="LIMER"</formula>
    </cfRule>
    <cfRule type="expression" dxfId="22" priority="131">
      <formula>$V$2="OBA"</formula>
    </cfRule>
  </conditionalFormatting>
  <conditionalFormatting sqref="U2:U4">
    <cfRule type="expression" dxfId="21" priority="121">
      <formula>$V$2="PERRY"</formula>
    </cfRule>
    <cfRule type="expression" dxfId="20" priority="122">
      <formula>$V$2="ETON"</formula>
    </cfRule>
    <cfRule type="expression" dxfId="19" priority="123">
      <formula>$V$2="SEARCHMONT"</formula>
    </cfRule>
    <cfRule type="expression" dxfId="18" priority="124">
      <formula>$V$2="DUBREUILVILLE"</formula>
    </cfRule>
    <cfRule type="expression" dxfId="17" priority="125">
      <formula>$V$2="FRANZ"</formula>
    </cfRule>
    <cfRule type="expression" dxfId="16" priority="126">
      <formula>$V$2="MOSHER"</formula>
    </cfRule>
    <cfRule type="expression" dxfId="15" priority="127">
      <formula>$V$2="MEAD"</formula>
    </cfRule>
    <cfRule type="expression" dxfId="14" priority="128">
      <formula>$V$2="HEARST"</formula>
    </cfRule>
    <cfRule type="expression" dxfId="13" priority="118">
      <formula>$V$2="WAWA"</formula>
    </cfRule>
    <cfRule type="expression" dxfId="12" priority="117">
      <formula>$V$2="MICHIPICOTEN"</formula>
    </cfRule>
    <cfRule type="expression" dxfId="11" priority="79">
      <formula>$V$2="TREMBLEY"</formula>
    </cfRule>
    <cfRule type="expression" dxfId="10" priority="59">
      <formula>$V$2="TATNALL"</formula>
    </cfRule>
    <cfRule type="expression" dxfId="9" priority="38">
      <formula>$V$2="FRATER"</formula>
    </cfRule>
    <cfRule type="expression" dxfId="8" priority="37">
      <formula>$V$2="MONTREAL FALLS"</formula>
    </cfRule>
  </conditionalFormatting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45"/>
  <sheetViews>
    <sheetView topLeftCell="A10" zoomScale="80" zoomScaleNormal="80" workbookViewId="0">
      <pane ySplit="9600" topLeftCell="A334"/>
      <selection activeCell="F329" sqref="F329"/>
      <selection pane="bottomLeft" activeCell="B338" sqref="B338:K338"/>
    </sheetView>
  </sheetViews>
  <sheetFormatPr defaultRowHeight="15"/>
  <cols>
    <col min="1" max="1" width="21.5703125" style="19" bestFit="1" customWidth="1"/>
    <col min="2" max="2" width="9.140625" style="19"/>
    <col min="3" max="3" width="17.28515625" style="45" bestFit="1" customWidth="1"/>
    <col min="4" max="4" width="32.85546875" style="19" bestFit="1" customWidth="1"/>
    <col min="5" max="5" width="25.7109375" style="19" bestFit="1" customWidth="1"/>
    <col min="6" max="6" width="28.140625" style="19" bestFit="1" customWidth="1"/>
    <col min="7" max="7" width="23.42578125" style="19" bestFit="1" customWidth="1"/>
    <col min="8" max="8" width="28.7109375" style="19" bestFit="1" customWidth="1"/>
    <col min="9" max="9" width="25.7109375" style="19" bestFit="1" customWidth="1"/>
    <col min="10" max="10" width="32.7109375" style="19" bestFit="1" customWidth="1"/>
    <col min="11" max="11" width="33" style="19" bestFit="1" customWidth="1"/>
    <col min="12" max="12" width="9.85546875" style="45" bestFit="1" customWidth="1"/>
    <col min="13" max="13" width="27.85546875" style="19" bestFit="1" customWidth="1"/>
    <col min="14" max="14" width="20.85546875" style="19" bestFit="1" customWidth="1"/>
    <col min="15" max="15" width="32.85546875" style="19" bestFit="1" customWidth="1"/>
    <col min="16" max="16" width="23.42578125" style="19" bestFit="1" customWidth="1"/>
    <col min="17" max="17" width="26.7109375" style="19" bestFit="1" customWidth="1"/>
    <col min="18" max="18" width="25.7109375" style="19" bestFit="1" customWidth="1"/>
    <col min="19" max="19" width="29" style="19" bestFit="1" customWidth="1"/>
    <col min="20" max="20" width="34.28515625" style="19" bestFit="1" customWidth="1"/>
    <col min="21" max="16384" width="9.140625" style="19"/>
  </cols>
  <sheetData>
    <row r="1" spans="1:20" s="37" customFormat="1">
      <c r="A1" s="37" t="s">
        <v>167</v>
      </c>
      <c r="B1" s="37" t="s">
        <v>148</v>
      </c>
      <c r="C1" s="44" t="s">
        <v>149</v>
      </c>
      <c r="D1" s="37" t="s">
        <v>150</v>
      </c>
      <c r="E1" s="37" t="s">
        <v>151</v>
      </c>
      <c r="F1" s="37" t="s">
        <v>152</v>
      </c>
      <c r="G1" s="37" t="s">
        <v>153</v>
      </c>
      <c r="H1" s="37" t="s">
        <v>154</v>
      </c>
      <c r="I1" s="37" t="s">
        <v>155</v>
      </c>
      <c r="J1" s="37" t="s">
        <v>156</v>
      </c>
      <c r="K1" s="37" t="s">
        <v>157</v>
      </c>
      <c r="L1" s="44" t="s">
        <v>158</v>
      </c>
      <c r="M1" s="37" t="s">
        <v>159</v>
      </c>
      <c r="N1" s="37" t="s">
        <v>160</v>
      </c>
      <c r="O1" s="37" t="s">
        <v>161</v>
      </c>
      <c r="P1" s="37" t="s">
        <v>162</v>
      </c>
      <c r="Q1" s="37" t="s">
        <v>163</v>
      </c>
      <c r="R1" s="37" t="s">
        <v>164</v>
      </c>
      <c r="S1" s="37" t="s">
        <v>165</v>
      </c>
      <c r="T1" s="37" t="s">
        <v>166</v>
      </c>
    </row>
    <row r="2" spans="1:20" s="39" customFormat="1">
      <c r="A2" s="39" t="s">
        <v>168</v>
      </c>
      <c r="B2" s="39" t="s">
        <v>38</v>
      </c>
      <c r="C2" s="42" t="s">
        <v>32</v>
      </c>
      <c r="D2" s="39" t="s">
        <v>33</v>
      </c>
      <c r="E2" s="39" t="s">
        <v>199</v>
      </c>
      <c r="H2" s="39" t="s">
        <v>9</v>
      </c>
      <c r="L2" s="42" t="s">
        <v>34</v>
      </c>
      <c r="M2" s="39" t="s">
        <v>35</v>
      </c>
      <c r="N2" s="39" t="s">
        <v>36</v>
      </c>
      <c r="O2" s="39" t="s">
        <v>33</v>
      </c>
      <c r="P2" s="39" t="s">
        <v>199</v>
      </c>
      <c r="Q2" s="39" t="s">
        <v>198</v>
      </c>
      <c r="T2" s="39" t="s">
        <v>10</v>
      </c>
    </row>
    <row r="3" spans="1:20" s="39" customFormat="1">
      <c r="A3" s="39" t="s">
        <v>169</v>
      </c>
      <c r="B3" s="39" t="s">
        <v>38</v>
      </c>
      <c r="C3" s="42" t="s">
        <v>32</v>
      </c>
      <c r="D3" s="39" t="s">
        <v>33</v>
      </c>
      <c r="E3" s="39" t="s">
        <v>199</v>
      </c>
      <c r="H3" s="39" t="s">
        <v>9</v>
      </c>
      <c r="L3" s="42" t="s">
        <v>34</v>
      </c>
      <c r="M3" s="39" t="s">
        <v>35</v>
      </c>
      <c r="N3" s="39" t="s">
        <v>36</v>
      </c>
      <c r="O3" s="39" t="s">
        <v>33</v>
      </c>
      <c r="P3" s="39" t="s">
        <v>199</v>
      </c>
      <c r="Q3" s="39" t="s">
        <v>39</v>
      </c>
      <c r="T3" s="39" t="s">
        <v>10</v>
      </c>
    </row>
    <row r="4" spans="1:20" s="39" customFormat="1">
      <c r="A4" s="39" t="s">
        <v>170</v>
      </c>
      <c r="B4" s="39" t="s">
        <v>38</v>
      </c>
      <c r="C4" s="42" t="s">
        <v>32</v>
      </c>
      <c r="D4" s="39" t="s">
        <v>33</v>
      </c>
      <c r="E4" s="39" t="s">
        <v>199</v>
      </c>
      <c r="H4" s="39" t="s">
        <v>9</v>
      </c>
      <c r="L4" s="42" t="s">
        <v>34</v>
      </c>
      <c r="M4" s="39" t="s">
        <v>35</v>
      </c>
      <c r="N4" s="39" t="s">
        <v>36</v>
      </c>
      <c r="O4" s="39" t="s">
        <v>33</v>
      </c>
      <c r="P4" s="39" t="s">
        <v>199</v>
      </c>
      <c r="Q4" s="39" t="s">
        <v>39</v>
      </c>
      <c r="T4" s="39" t="s">
        <v>10</v>
      </c>
    </row>
    <row r="5" spans="1:20" s="39" customFormat="1">
      <c r="A5" s="39" t="s">
        <v>171</v>
      </c>
      <c r="B5" s="39" t="s">
        <v>38</v>
      </c>
      <c r="C5" s="42" t="s">
        <v>32</v>
      </c>
      <c r="D5" s="39" t="s">
        <v>33</v>
      </c>
      <c r="E5" s="39" t="s">
        <v>199</v>
      </c>
      <c r="H5" s="39" t="s">
        <v>9</v>
      </c>
      <c r="L5" s="42" t="s">
        <v>34</v>
      </c>
      <c r="M5" s="39" t="s">
        <v>35</v>
      </c>
      <c r="N5" s="39" t="s">
        <v>36</v>
      </c>
      <c r="O5" s="39" t="s">
        <v>33</v>
      </c>
      <c r="P5" s="39" t="s">
        <v>199</v>
      </c>
      <c r="Q5" s="39" t="s">
        <v>39</v>
      </c>
      <c r="T5" s="39" t="s">
        <v>10</v>
      </c>
    </row>
    <row r="6" spans="1:20" s="39" customFormat="1">
      <c r="A6" s="39" t="s">
        <v>172</v>
      </c>
      <c r="B6" s="39" t="s">
        <v>38</v>
      </c>
      <c r="C6" s="42" t="s">
        <v>32</v>
      </c>
      <c r="D6" s="39" t="s">
        <v>33</v>
      </c>
      <c r="E6" s="39" t="s">
        <v>199</v>
      </c>
      <c r="H6" s="39" t="s">
        <v>9</v>
      </c>
      <c r="L6" s="42" t="s">
        <v>34</v>
      </c>
      <c r="M6" s="39" t="s">
        <v>35</v>
      </c>
      <c r="N6" s="39" t="s">
        <v>36</v>
      </c>
      <c r="O6" s="39" t="s">
        <v>33</v>
      </c>
      <c r="P6" s="39" t="s">
        <v>199</v>
      </c>
      <c r="Q6" s="39" t="s">
        <v>37</v>
      </c>
      <c r="T6" s="39" t="s">
        <v>10</v>
      </c>
    </row>
    <row r="7" spans="1:20" s="39" customFormat="1">
      <c r="A7" s="39" t="s">
        <v>173</v>
      </c>
      <c r="B7" s="39" t="s">
        <v>38</v>
      </c>
      <c r="C7" s="42" t="s">
        <v>32</v>
      </c>
      <c r="D7" s="39" t="s">
        <v>33</v>
      </c>
      <c r="E7" s="39" t="s">
        <v>199</v>
      </c>
      <c r="H7" s="39" t="s">
        <v>9</v>
      </c>
      <c r="L7" s="42" t="s">
        <v>34</v>
      </c>
      <c r="M7" s="39" t="s">
        <v>35</v>
      </c>
      <c r="N7" s="39" t="s">
        <v>36</v>
      </c>
      <c r="O7" s="39" t="s">
        <v>33</v>
      </c>
      <c r="P7" s="39" t="s">
        <v>199</v>
      </c>
      <c r="Q7" s="39" t="s">
        <v>37</v>
      </c>
      <c r="T7" s="39" t="s">
        <v>10</v>
      </c>
    </row>
    <row r="8" spans="1:20" s="39" customFormat="1">
      <c r="A8" s="39" t="s">
        <v>174</v>
      </c>
      <c r="B8" s="39" t="s">
        <v>38</v>
      </c>
      <c r="C8" s="42" t="s">
        <v>34</v>
      </c>
      <c r="D8" s="39" t="s">
        <v>35</v>
      </c>
      <c r="E8" s="39" t="s">
        <v>200</v>
      </c>
      <c r="H8" s="39" t="s">
        <v>9</v>
      </c>
      <c r="L8" s="42" t="s">
        <v>7</v>
      </c>
      <c r="M8" s="39" t="s">
        <v>41</v>
      </c>
      <c r="N8" s="39" t="s">
        <v>21</v>
      </c>
      <c r="O8" s="39" t="s">
        <v>35</v>
      </c>
      <c r="P8" s="39" t="s">
        <v>36</v>
      </c>
      <c r="Q8" s="39" t="s">
        <v>40</v>
      </c>
      <c r="T8" s="39" t="s">
        <v>10</v>
      </c>
    </row>
    <row r="9" spans="1:20" s="39" customFormat="1">
      <c r="A9" s="39" t="s">
        <v>175</v>
      </c>
      <c r="B9" s="39" t="s">
        <v>38</v>
      </c>
      <c r="C9" s="42" t="s">
        <v>34</v>
      </c>
      <c r="D9" s="39" t="s">
        <v>35</v>
      </c>
      <c r="E9" s="39" t="s">
        <v>200</v>
      </c>
      <c r="H9" s="39" t="s">
        <v>9</v>
      </c>
      <c r="L9" s="42" t="s">
        <v>7</v>
      </c>
      <c r="M9" s="39" t="s">
        <v>41</v>
      </c>
      <c r="N9" s="39" t="s">
        <v>21</v>
      </c>
      <c r="O9" s="39" t="s">
        <v>35</v>
      </c>
      <c r="P9" s="39" t="s">
        <v>36</v>
      </c>
      <c r="Q9" s="39" t="s">
        <v>40</v>
      </c>
      <c r="T9" s="39" t="s">
        <v>10</v>
      </c>
    </row>
    <row r="10" spans="1:20" s="39" customFormat="1">
      <c r="A10" s="39" t="s">
        <v>176</v>
      </c>
      <c r="B10" s="39" t="s">
        <v>38</v>
      </c>
      <c r="C10" s="42" t="s">
        <v>34</v>
      </c>
      <c r="D10" s="39" t="s">
        <v>35</v>
      </c>
      <c r="E10" s="39" t="s">
        <v>200</v>
      </c>
      <c r="H10" s="39" t="s">
        <v>9</v>
      </c>
      <c r="L10" s="42" t="s">
        <v>7</v>
      </c>
      <c r="M10" s="39" t="s">
        <v>41</v>
      </c>
      <c r="N10" s="39" t="s">
        <v>21</v>
      </c>
      <c r="O10" s="39" t="s">
        <v>35</v>
      </c>
      <c r="P10" s="39" t="s">
        <v>36</v>
      </c>
      <c r="Q10" s="39" t="s">
        <v>40</v>
      </c>
      <c r="T10" s="39" t="s">
        <v>10</v>
      </c>
    </row>
    <row r="11" spans="1:20" s="39" customFormat="1">
      <c r="A11" s="39" t="s">
        <v>177</v>
      </c>
      <c r="B11" s="39" t="s">
        <v>38</v>
      </c>
      <c r="C11" s="42" t="s">
        <v>34</v>
      </c>
      <c r="D11" s="39" t="s">
        <v>35</v>
      </c>
      <c r="E11" s="39" t="s">
        <v>200</v>
      </c>
      <c r="H11" s="39" t="s">
        <v>9</v>
      </c>
      <c r="L11" s="42" t="s">
        <v>7</v>
      </c>
      <c r="M11" s="39" t="s">
        <v>41</v>
      </c>
      <c r="N11" s="39" t="s">
        <v>21</v>
      </c>
      <c r="O11" s="39" t="s">
        <v>35</v>
      </c>
      <c r="P11" s="39" t="s">
        <v>36</v>
      </c>
      <c r="Q11" s="39" t="s">
        <v>40</v>
      </c>
      <c r="T11" s="39" t="s">
        <v>10</v>
      </c>
    </row>
    <row r="12" spans="1:20" s="20" customFormat="1">
      <c r="A12" s="20" t="s">
        <v>178</v>
      </c>
      <c r="B12" s="20" t="s">
        <v>362</v>
      </c>
      <c r="C12" s="43" t="s">
        <v>4</v>
      </c>
      <c r="D12" s="20" t="s">
        <v>14</v>
      </c>
      <c r="E12" s="20" t="s">
        <v>201</v>
      </c>
      <c r="H12" s="20" t="s">
        <v>9</v>
      </c>
      <c r="L12" s="43" t="s">
        <v>6</v>
      </c>
      <c r="M12" s="20" t="s">
        <v>8</v>
      </c>
      <c r="N12" s="20" t="s">
        <v>203</v>
      </c>
      <c r="O12" s="20" t="s">
        <v>14</v>
      </c>
      <c r="P12" s="20" t="s">
        <v>201</v>
      </c>
      <c r="Q12" s="20" t="s">
        <v>13</v>
      </c>
      <c r="T12" s="20" t="s">
        <v>10</v>
      </c>
    </row>
    <row r="13" spans="1:20" s="20" customFormat="1">
      <c r="A13" s="20" t="s">
        <v>179</v>
      </c>
      <c r="B13" s="20" t="s">
        <v>362</v>
      </c>
      <c r="C13" s="43" t="s">
        <v>4</v>
      </c>
      <c r="D13" s="20" t="s">
        <v>14</v>
      </c>
      <c r="E13" s="20" t="s">
        <v>201</v>
      </c>
      <c r="H13" s="20" t="s">
        <v>9</v>
      </c>
      <c r="L13" s="43" t="s">
        <v>6</v>
      </c>
      <c r="M13" s="20" t="s">
        <v>8</v>
      </c>
      <c r="N13" s="20" t="s">
        <v>203</v>
      </c>
      <c r="O13" s="20" t="s">
        <v>14</v>
      </c>
      <c r="P13" s="20" t="s">
        <v>201</v>
      </c>
      <c r="Q13" s="20" t="s">
        <v>13</v>
      </c>
      <c r="T13" s="20" t="s">
        <v>10</v>
      </c>
    </row>
    <row r="14" spans="1:20" s="20" customFormat="1">
      <c r="A14" s="20" t="s">
        <v>180</v>
      </c>
      <c r="B14" s="20" t="s">
        <v>362</v>
      </c>
      <c r="C14" s="43" t="s">
        <v>4</v>
      </c>
      <c r="D14" s="20" t="s">
        <v>14</v>
      </c>
      <c r="E14" s="20" t="s">
        <v>201</v>
      </c>
      <c r="H14" s="20" t="s">
        <v>9</v>
      </c>
      <c r="L14" s="43" t="s">
        <v>6</v>
      </c>
      <c r="M14" s="20" t="s">
        <v>8</v>
      </c>
      <c r="N14" s="20" t="s">
        <v>203</v>
      </c>
      <c r="O14" s="20" t="s">
        <v>14</v>
      </c>
      <c r="P14" s="20" t="s">
        <v>201</v>
      </c>
      <c r="Q14" s="20" t="s">
        <v>13</v>
      </c>
      <c r="T14" s="20" t="s">
        <v>10</v>
      </c>
    </row>
    <row r="15" spans="1:20" s="20" customFormat="1">
      <c r="A15" s="20" t="s">
        <v>181</v>
      </c>
      <c r="B15" s="20" t="s">
        <v>362</v>
      </c>
      <c r="C15" s="43" t="s">
        <v>4</v>
      </c>
      <c r="D15" s="20" t="s">
        <v>14</v>
      </c>
      <c r="E15" s="20" t="s">
        <v>201</v>
      </c>
      <c r="H15" s="20" t="s">
        <v>9</v>
      </c>
      <c r="L15" s="43" t="s">
        <v>28</v>
      </c>
      <c r="M15" s="40" t="s">
        <v>697</v>
      </c>
      <c r="N15" s="20" t="s">
        <v>26</v>
      </c>
      <c r="O15" s="20" t="s">
        <v>14</v>
      </c>
      <c r="P15" s="20" t="s">
        <v>201</v>
      </c>
      <c r="Q15" s="20" t="s">
        <v>13</v>
      </c>
      <c r="T15" s="20" t="s">
        <v>10</v>
      </c>
    </row>
    <row r="16" spans="1:20" s="20" customFormat="1">
      <c r="A16" s="20" t="s">
        <v>182</v>
      </c>
      <c r="B16" s="20" t="s">
        <v>362</v>
      </c>
      <c r="C16" s="43" t="s">
        <v>4</v>
      </c>
      <c r="D16" s="20" t="s">
        <v>14</v>
      </c>
      <c r="E16" s="20" t="s">
        <v>201</v>
      </c>
      <c r="H16" s="20" t="s">
        <v>9</v>
      </c>
      <c r="L16" s="43" t="s">
        <v>28</v>
      </c>
      <c r="M16" s="40" t="s">
        <v>697</v>
      </c>
      <c r="N16" s="20" t="s">
        <v>26</v>
      </c>
      <c r="O16" s="20" t="s">
        <v>14</v>
      </c>
      <c r="P16" s="20" t="s">
        <v>201</v>
      </c>
      <c r="Q16" s="20" t="s">
        <v>13</v>
      </c>
      <c r="T16" s="20" t="s">
        <v>10</v>
      </c>
    </row>
    <row r="17" spans="1:20" s="20" customFormat="1">
      <c r="A17" s="20" t="s">
        <v>183</v>
      </c>
      <c r="B17" s="20" t="s">
        <v>64</v>
      </c>
      <c r="C17" s="43" t="s">
        <v>4</v>
      </c>
      <c r="D17" s="20" t="s">
        <v>14</v>
      </c>
      <c r="E17" s="20" t="s">
        <v>201</v>
      </c>
      <c r="F17" s="20" t="s">
        <v>61</v>
      </c>
      <c r="G17" s="20" t="s">
        <v>63</v>
      </c>
      <c r="H17" s="20" t="s">
        <v>9</v>
      </c>
      <c r="I17" s="20" t="s">
        <v>56</v>
      </c>
      <c r="L17" s="43" t="s">
        <v>42</v>
      </c>
      <c r="M17" s="20" t="s">
        <v>361</v>
      </c>
      <c r="N17" s="20" t="s">
        <v>360</v>
      </c>
      <c r="O17" s="20" t="s">
        <v>14</v>
      </c>
      <c r="P17" s="20" t="s">
        <v>201</v>
      </c>
      <c r="Q17" s="20" t="s">
        <v>13</v>
      </c>
      <c r="R17" s="20" t="s">
        <v>57</v>
      </c>
      <c r="T17" s="20" t="s">
        <v>10</v>
      </c>
    </row>
    <row r="18" spans="1:20" s="20" customFormat="1">
      <c r="A18" s="20" t="s">
        <v>184</v>
      </c>
      <c r="B18" s="20" t="s">
        <v>362</v>
      </c>
      <c r="C18" s="43" t="s">
        <v>19</v>
      </c>
      <c r="D18" s="20" t="s">
        <v>8</v>
      </c>
      <c r="E18" s="20" t="s">
        <v>202</v>
      </c>
      <c r="H18" s="20" t="s">
        <v>9</v>
      </c>
      <c r="L18" s="43" t="s">
        <v>6</v>
      </c>
      <c r="M18" s="20" t="s">
        <v>8</v>
      </c>
      <c r="N18" s="20" t="s">
        <v>203</v>
      </c>
      <c r="O18" s="20" t="s">
        <v>8</v>
      </c>
      <c r="P18" s="20" t="s">
        <v>202</v>
      </c>
      <c r="Q18" s="20" t="s">
        <v>13</v>
      </c>
      <c r="T18" s="20" t="s">
        <v>10</v>
      </c>
    </row>
    <row r="19" spans="1:20" s="20" customFormat="1">
      <c r="A19" s="20" t="s">
        <v>185</v>
      </c>
      <c r="B19" s="20" t="s">
        <v>362</v>
      </c>
      <c r="C19" s="43" t="s">
        <v>19</v>
      </c>
      <c r="D19" s="20" t="s">
        <v>8</v>
      </c>
      <c r="E19" s="20" t="s">
        <v>202</v>
      </c>
      <c r="H19" s="20" t="s">
        <v>9</v>
      </c>
      <c r="L19" s="43" t="s">
        <v>6</v>
      </c>
      <c r="M19" s="20" t="s">
        <v>8</v>
      </c>
      <c r="N19" s="20" t="s">
        <v>203</v>
      </c>
      <c r="O19" s="20" t="s">
        <v>8</v>
      </c>
      <c r="P19" s="20" t="s">
        <v>202</v>
      </c>
      <c r="Q19" s="20" t="s">
        <v>13</v>
      </c>
      <c r="T19" s="20" t="s">
        <v>10</v>
      </c>
    </row>
    <row r="20" spans="1:20" s="20" customFormat="1">
      <c r="A20" s="20" t="s">
        <v>186</v>
      </c>
      <c r="B20" s="20" t="s">
        <v>15</v>
      </c>
      <c r="C20" s="43" t="s">
        <v>6</v>
      </c>
      <c r="D20" s="20" t="s">
        <v>8</v>
      </c>
      <c r="E20" s="20" t="s">
        <v>203</v>
      </c>
      <c r="H20" s="20" t="s">
        <v>9</v>
      </c>
      <c r="L20" s="43" t="s">
        <v>7</v>
      </c>
      <c r="M20" s="20" t="s">
        <v>17</v>
      </c>
      <c r="N20" s="20" t="s">
        <v>113</v>
      </c>
      <c r="O20" s="20" t="s">
        <v>8</v>
      </c>
      <c r="P20" s="20" t="s">
        <v>203</v>
      </c>
      <c r="Q20" s="20" t="s">
        <v>16</v>
      </c>
      <c r="R20" s="20" t="s">
        <v>18</v>
      </c>
      <c r="T20" s="20" t="s">
        <v>10</v>
      </c>
    </row>
    <row r="21" spans="1:20" s="20" customFormat="1">
      <c r="A21" s="20" t="s">
        <v>187</v>
      </c>
      <c r="B21" s="20" t="s">
        <v>15</v>
      </c>
      <c r="C21" s="43" t="s">
        <v>6</v>
      </c>
      <c r="D21" s="20" t="s">
        <v>8</v>
      </c>
      <c r="E21" s="20" t="s">
        <v>203</v>
      </c>
      <c r="H21" s="20" t="s">
        <v>9</v>
      </c>
      <c r="L21" s="43" t="s">
        <v>7</v>
      </c>
      <c r="M21" s="20" t="s">
        <v>17</v>
      </c>
      <c r="N21" s="20" t="s">
        <v>113</v>
      </c>
      <c r="O21" s="20" t="s">
        <v>8</v>
      </c>
      <c r="P21" s="20" t="s">
        <v>203</v>
      </c>
      <c r="Q21" s="20" t="s">
        <v>16</v>
      </c>
      <c r="R21" s="20" t="s">
        <v>18</v>
      </c>
      <c r="T21" s="20" t="s">
        <v>10</v>
      </c>
    </row>
    <row r="22" spans="1:20" s="39" customFormat="1">
      <c r="A22" s="39" t="s">
        <v>188</v>
      </c>
      <c r="B22" s="39" t="s">
        <v>362</v>
      </c>
      <c r="C22" s="42" t="s">
        <v>22</v>
      </c>
      <c r="D22" s="39" t="s">
        <v>20</v>
      </c>
      <c r="E22" s="39" t="s">
        <v>226</v>
      </c>
      <c r="H22" s="39" t="s">
        <v>9</v>
      </c>
      <c r="L22" s="42" t="s">
        <v>7</v>
      </c>
      <c r="M22" s="39" t="s">
        <v>20</v>
      </c>
      <c r="N22" s="39" t="s">
        <v>21</v>
      </c>
      <c r="O22" s="39" t="s">
        <v>20</v>
      </c>
      <c r="P22" s="39" t="s">
        <v>226</v>
      </c>
      <c r="Q22" s="39" t="s">
        <v>13</v>
      </c>
      <c r="T22" s="39" t="s">
        <v>10</v>
      </c>
    </row>
    <row r="23" spans="1:20" s="39" customFormat="1">
      <c r="A23" s="39" t="s">
        <v>189</v>
      </c>
      <c r="B23" s="39" t="s">
        <v>362</v>
      </c>
      <c r="C23" s="42" t="s">
        <v>22</v>
      </c>
      <c r="D23" s="39" t="s">
        <v>20</v>
      </c>
      <c r="E23" s="39" t="s">
        <v>226</v>
      </c>
      <c r="H23" s="39" t="s">
        <v>9</v>
      </c>
      <c r="L23" s="42" t="s">
        <v>7</v>
      </c>
      <c r="M23" s="39" t="s">
        <v>20</v>
      </c>
      <c r="N23" s="39" t="s">
        <v>21</v>
      </c>
      <c r="O23" s="39" t="s">
        <v>20</v>
      </c>
      <c r="P23" s="39" t="s">
        <v>226</v>
      </c>
      <c r="Q23" s="39" t="s">
        <v>13</v>
      </c>
      <c r="T23" s="39" t="s">
        <v>10</v>
      </c>
    </row>
    <row r="24" spans="1:20" s="39" customFormat="1">
      <c r="A24" s="39" t="s">
        <v>190</v>
      </c>
      <c r="B24" s="39" t="s">
        <v>362</v>
      </c>
      <c r="C24" s="42" t="s">
        <v>19</v>
      </c>
      <c r="D24" s="39" t="s">
        <v>20</v>
      </c>
      <c r="E24" s="39" t="s">
        <v>202</v>
      </c>
      <c r="H24" s="39" t="s">
        <v>9</v>
      </c>
      <c r="L24" s="42" t="s">
        <v>7</v>
      </c>
      <c r="M24" s="39" t="s">
        <v>20</v>
      </c>
      <c r="N24" s="39" t="s">
        <v>21</v>
      </c>
      <c r="O24" s="39" t="s">
        <v>20</v>
      </c>
      <c r="P24" s="39" t="s">
        <v>202</v>
      </c>
      <c r="Q24" s="39" t="s">
        <v>13</v>
      </c>
      <c r="T24" s="39" t="s">
        <v>10</v>
      </c>
    </row>
    <row r="25" spans="1:20" s="39" customFormat="1">
      <c r="A25" s="39" t="s">
        <v>191</v>
      </c>
      <c r="B25" s="39" t="s">
        <v>362</v>
      </c>
      <c r="C25" s="42" t="s">
        <v>19</v>
      </c>
      <c r="D25" s="39" t="s">
        <v>20</v>
      </c>
      <c r="E25" s="39" t="s">
        <v>202</v>
      </c>
      <c r="H25" s="39" t="s">
        <v>9</v>
      </c>
      <c r="L25" s="42" t="s">
        <v>7</v>
      </c>
      <c r="M25" s="39" t="s">
        <v>20</v>
      </c>
      <c r="N25" s="39" t="s">
        <v>21</v>
      </c>
      <c r="O25" s="39" t="s">
        <v>20</v>
      </c>
      <c r="P25" s="39" t="s">
        <v>202</v>
      </c>
      <c r="Q25" s="39" t="s">
        <v>13</v>
      </c>
      <c r="T25" s="39" t="s">
        <v>10</v>
      </c>
    </row>
    <row r="26" spans="1:20" s="39" customFormat="1">
      <c r="A26" s="39" t="s">
        <v>192</v>
      </c>
      <c r="B26" s="39" t="s">
        <v>362</v>
      </c>
      <c r="C26" s="42" t="s">
        <v>28</v>
      </c>
      <c r="D26" s="39" t="s">
        <v>117</v>
      </c>
      <c r="E26" s="39" t="s">
        <v>118</v>
      </c>
      <c r="H26" s="39" t="s">
        <v>9</v>
      </c>
      <c r="L26" s="42" t="s">
        <v>7</v>
      </c>
      <c r="M26" s="39" t="s">
        <v>20</v>
      </c>
      <c r="N26" s="39" t="s">
        <v>21</v>
      </c>
      <c r="O26" s="39" t="s">
        <v>117</v>
      </c>
      <c r="P26" s="39" t="s">
        <v>118</v>
      </c>
      <c r="Q26" s="39" t="s">
        <v>13</v>
      </c>
      <c r="T26" s="39" t="s">
        <v>10</v>
      </c>
    </row>
    <row r="27" spans="1:20" s="39" customFormat="1">
      <c r="A27" s="39" t="s">
        <v>193</v>
      </c>
      <c r="B27" s="39" t="s">
        <v>362</v>
      </c>
      <c r="C27" s="42" t="s">
        <v>28</v>
      </c>
      <c r="D27" s="39" t="s">
        <v>117</v>
      </c>
      <c r="E27" s="39" t="s">
        <v>118</v>
      </c>
      <c r="H27" s="39" t="s">
        <v>9</v>
      </c>
      <c r="L27" s="42" t="s">
        <v>7</v>
      </c>
      <c r="M27" s="39" t="s">
        <v>20</v>
      </c>
      <c r="N27" s="39" t="s">
        <v>21</v>
      </c>
      <c r="O27" s="39" t="s">
        <v>117</v>
      </c>
      <c r="P27" s="39" t="s">
        <v>118</v>
      </c>
      <c r="Q27" s="39" t="s">
        <v>13</v>
      </c>
      <c r="T27" s="39" t="s">
        <v>10</v>
      </c>
    </row>
    <row r="28" spans="1:20" s="39" customFormat="1">
      <c r="A28" s="39" t="s">
        <v>194</v>
      </c>
      <c r="B28" s="39" t="s">
        <v>362</v>
      </c>
      <c r="C28" s="42" t="s">
        <v>82</v>
      </c>
      <c r="D28" s="39" t="s">
        <v>51</v>
      </c>
      <c r="E28" s="39" t="s">
        <v>227</v>
      </c>
      <c r="H28" s="39" t="s">
        <v>9</v>
      </c>
      <c r="L28" s="42" t="s">
        <v>7</v>
      </c>
      <c r="M28" s="39" t="s">
        <v>20</v>
      </c>
      <c r="N28" s="39" t="s">
        <v>21</v>
      </c>
      <c r="O28" s="39" t="s">
        <v>51</v>
      </c>
      <c r="P28" s="39" t="s">
        <v>227</v>
      </c>
      <c r="Q28" s="39" t="s">
        <v>13</v>
      </c>
      <c r="T28" s="39" t="s">
        <v>10</v>
      </c>
    </row>
    <row r="29" spans="1:20" s="39" customFormat="1">
      <c r="A29" s="39" t="s">
        <v>195</v>
      </c>
      <c r="B29" s="39" t="s">
        <v>362</v>
      </c>
      <c r="C29" s="42" t="s">
        <v>287</v>
      </c>
      <c r="D29" s="39" t="s">
        <v>323</v>
      </c>
      <c r="E29" s="39" t="s">
        <v>324</v>
      </c>
      <c r="H29" s="39" t="s">
        <v>9</v>
      </c>
      <c r="L29" s="42" t="s">
        <v>7</v>
      </c>
      <c r="M29" s="39" t="s">
        <v>20</v>
      </c>
      <c r="N29" s="39" t="s">
        <v>21</v>
      </c>
      <c r="O29" s="39" t="s">
        <v>323</v>
      </c>
      <c r="P29" s="39" t="s">
        <v>324</v>
      </c>
      <c r="Q29" s="39" t="s">
        <v>13</v>
      </c>
      <c r="T29" s="39" t="s">
        <v>10</v>
      </c>
    </row>
    <row r="30" spans="1:20" s="39" customFormat="1">
      <c r="A30" s="39" t="s">
        <v>196</v>
      </c>
      <c r="B30" s="39" t="s">
        <v>362</v>
      </c>
      <c r="C30" s="42" t="s">
        <v>53</v>
      </c>
      <c r="D30" s="40" t="s">
        <v>472</v>
      </c>
      <c r="E30" s="39" t="s">
        <v>228</v>
      </c>
      <c r="F30" s="40" t="s">
        <v>472</v>
      </c>
      <c r="G30" s="39" t="s">
        <v>229</v>
      </c>
      <c r="H30" s="39" t="s">
        <v>13</v>
      </c>
      <c r="K30" s="39" t="s">
        <v>10</v>
      </c>
      <c r="L30" s="42"/>
    </row>
    <row r="31" spans="1:20" s="39" customFormat="1">
      <c r="A31" s="39" t="s">
        <v>197</v>
      </c>
      <c r="B31" s="39" t="s">
        <v>64</v>
      </c>
      <c r="C31" s="42" t="s">
        <v>7</v>
      </c>
      <c r="D31" s="39" t="s">
        <v>204</v>
      </c>
      <c r="E31" s="39" t="s">
        <v>598</v>
      </c>
      <c r="F31" s="39" t="s">
        <v>204</v>
      </c>
      <c r="G31" s="39" t="s">
        <v>625</v>
      </c>
      <c r="H31" s="39" t="s">
        <v>13</v>
      </c>
      <c r="I31" s="39" t="s">
        <v>68</v>
      </c>
      <c r="L31" s="42" t="s">
        <v>42</v>
      </c>
      <c r="M31" s="39" t="s">
        <v>61</v>
      </c>
      <c r="N31" s="39" t="s">
        <v>63</v>
      </c>
      <c r="O31" s="39" t="s">
        <v>204</v>
      </c>
      <c r="P31" s="39" t="s">
        <v>598</v>
      </c>
      <c r="Q31" s="39" t="s">
        <v>9</v>
      </c>
      <c r="R31" s="39" t="s">
        <v>67</v>
      </c>
      <c r="T31" s="39" t="s">
        <v>10</v>
      </c>
    </row>
    <row r="32" spans="1:20" s="20" customFormat="1">
      <c r="A32" s="20" t="s">
        <v>374</v>
      </c>
      <c r="B32" s="20" t="s">
        <v>5</v>
      </c>
      <c r="C32" s="43" t="s">
        <v>6</v>
      </c>
      <c r="D32" s="20" t="s">
        <v>8</v>
      </c>
      <c r="E32" s="20" t="s">
        <v>203</v>
      </c>
      <c r="H32" s="20" t="s">
        <v>9</v>
      </c>
      <c r="L32" s="43" t="s">
        <v>7</v>
      </c>
      <c r="M32" s="20" t="s">
        <v>51</v>
      </c>
      <c r="N32" s="20" t="s">
        <v>553</v>
      </c>
      <c r="O32" s="20" t="s">
        <v>8</v>
      </c>
      <c r="P32" s="20" t="s">
        <v>203</v>
      </c>
      <c r="Q32" s="20" t="s">
        <v>12</v>
      </c>
      <c r="R32" s="20" t="s">
        <v>18</v>
      </c>
      <c r="T32" s="20" t="s">
        <v>10</v>
      </c>
    </row>
    <row r="33" spans="1:20" s="20" customFormat="1">
      <c r="A33" s="20" t="s">
        <v>375</v>
      </c>
      <c r="B33" s="20" t="s">
        <v>5</v>
      </c>
      <c r="C33" s="43" t="s">
        <v>6</v>
      </c>
      <c r="D33" s="20" t="s">
        <v>8</v>
      </c>
      <c r="E33" s="20" t="s">
        <v>203</v>
      </c>
      <c r="H33" s="20" t="s">
        <v>9</v>
      </c>
      <c r="L33" s="43" t="s">
        <v>7</v>
      </c>
      <c r="M33" s="20" t="s">
        <v>247</v>
      </c>
      <c r="N33" s="20" t="s">
        <v>11</v>
      </c>
      <c r="O33" s="20" t="s">
        <v>8</v>
      </c>
      <c r="P33" s="20" t="s">
        <v>203</v>
      </c>
      <c r="Q33" s="20" t="s">
        <v>12</v>
      </c>
      <c r="R33" s="20" t="s">
        <v>18</v>
      </c>
      <c r="T33" s="20" t="s">
        <v>10</v>
      </c>
    </row>
    <row r="34" spans="1:20" s="20" customFormat="1">
      <c r="A34" s="20" t="s">
        <v>376</v>
      </c>
      <c r="B34" s="20" t="s">
        <v>5</v>
      </c>
      <c r="C34" s="43" t="s">
        <v>6</v>
      </c>
      <c r="D34" s="20" t="s">
        <v>8</v>
      </c>
      <c r="E34" s="20" t="s">
        <v>203</v>
      </c>
      <c r="H34" s="20" t="s">
        <v>9</v>
      </c>
      <c r="L34" s="43" t="s">
        <v>7</v>
      </c>
      <c r="M34" s="20" t="s">
        <v>146</v>
      </c>
      <c r="N34" s="20" t="s">
        <v>119</v>
      </c>
      <c r="O34" s="20" t="s">
        <v>8</v>
      </c>
      <c r="P34" s="20" t="s">
        <v>203</v>
      </c>
      <c r="Q34" s="20" t="s">
        <v>12</v>
      </c>
      <c r="R34" s="20" t="s">
        <v>18</v>
      </c>
      <c r="T34" s="20" t="s">
        <v>10</v>
      </c>
    </row>
    <row r="35" spans="1:20" s="20" customFormat="1">
      <c r="A35" s="20" t="s">
        <v>377</v>
      </c>
      <c r="B35" s="20" t="s">
        <v>5</v>
      </c>
      <c r="C35" s="43" t="s">
        <v>6</v>
      </c>
      <c r="D35" s="20" t="s">
        <v>8</v>
      </c>
      <c r="E35" s="20" t="s">
        <v>203</v>
      </c>
      <c r="H35" s="20" t="s">
        <v>9</v>
      </c>
      <c r="L35" s="43" t="s">
        <v>7</v>
      </c>
      <c r="M35" s="20" t="s">
        <v>412</v>
      </c>
      <c r="N35" s="20" t="s">
        <v>119</v>
      </c>
      <c r="O35" s="20" t="s">
        <v>8</v>
      </c>
      <c r="P35" s="20" t="s">
        <v>203</v>
      </c>
      <c r="Q35" s="20" t="s">
        <v>12</v>
      </c>
      <c r="R35" s="20" t="s">
        <v>18</v>
      </c>
      <c r="T35" s="20" t="s">
        <v>10</v>
      </c>
    </row>
    <row r="36" spans="1:20" s="20" customFormat="1">
      <c r="A36" s="20" t="s">
        <v>378</v>
      </c>
      <c r="B36" s="20" t="s">
        <v>5</v>
      </c>
      <c r="C36" s="43" t="s">
        <v>6</v>
      </c>
      <c r="D36" s="20" t="s">
        <v>8</v>
      </c>
      <c r="E36" s="20" t="s">
        <v>203</v>
      </c>
      <c r="H36" s="20" t="s">
        <v>9</v>
      </c>
      <c r="L36" s="43" t="s">
        <v>7</v>
      </c>
      <c r="M36" s="20" t="s">
        <v>404</v>
      </c>
      <c r="N36" s="20" t="s">
        <v>405</v>
      </c>
      <c r="O36" s="20" t="s">
        <v>8</v>
      </c>
      <c r="P36" s="20" t="s">
        <v>203</v>
      </c>
      <c r="Q36" s="20" t="s">
        <v>12</v>
      </c>
      <c r="R36" s="20" t="s">
        <v>18</v>
      </c>
      <c r="T36" s="20" t="s">
        <v>10</v>
      </c>
    </row>
    <row r="37" spans="1:20" s="20" customFormat="1">
      <c r="A37" s="20" t="s">
        <v>379</v>
      </c>
      <c r="B37" s="20" t="s">
        <v>5</v>
      </c>
      <c r="C37" s="43" t="s">
        <v>6</v>
      </c>
      <c r="D37" s="20" t="s">
        <v>8</v>
      </c>
      <c r="E37" s="20" t="s">
        <v>203</v>
      </c>
      <c r="H37" s="20" t="s">
        <v>9</v>
      </c>
      <c r="L37" s="43" t="s">
        <v>29</v>
      </c>
      <c r="M37" s="20" t="s">
        <v>559</v>
      </c>
      <c r="N37" s="20" t="s">
        <v>560</v>
      </c>
      <c r="O37" s="20" t="s">
        <v>8</v>
      </c>
      <c r="P37" s="20" t="s">
        <v>203</v>
      </c>
      <c r="Q37" s="20" t="s">
        <v>12</v>
      </c>
      <c r="R37" s="20" t="s">
        <v>50</v>
      </c>
      <c r="T37" s="20" t="s">
        <v>10</v>
      </c>
    </row>
    <row r="38" spans="1:20" s="20" customFormat="1">
      <c r="A38" s="20" t="s">
        <v>380</v>
      </c>
      <c r="B38" s="20" t="s">
        <v>5</v>
      </c>
      <c r="C38" s="43" t="s">
        <v>6</v>
      </c>
      <c r="D38" s="20" t="s">
        <v>8</v>
      </c>
      <c r="E38" s="20" t="s">
        <v>203</v>
      </c>
      <c r="H38" s="20" t="s">
        <v>9</v>
      </c>
      <c r="L38" s="43" t="s">
        <v>29</v>
      </c>
      <c r="M38" s="20" t="s">
        <v>557</v>
      </c>
      <c r="N38" s="20" t="s">
        <v>558</v>
      </c>
      <c r="O38" s="20" t="s">
        <v>8</v>
      </c>
      <c r="P38" s="20" t="s">
        <v>203</v>
      </c>
      <c r="Q38" s="20" t="s">
        <v>12</v>
      </c>
      <c r="R38" s="20" t="s">
        <v>50</v>
      </c>
      <c r="T38" s="20" t="s">
        <v>10</v>
      </c>
    </row>
    <row r="39" spans="1:20" s="20" customFormat="1">
      <c r="A39" s="20" t="s">
        <v>381</v>
      </c>
      <c r="B39" s="20" t="s">
        <v>5</v>
      </c>
      <c r="C39" s="43" t="s">
        <v>29</v>
      </c>
      <c r="D39" s="20" t="s">
        <v>437</v>
      </c>
      <c r="E39" s="20" t="s">
        <v>43</v>
      </c>
      <c r="F39" s="20" t="s">
        <v>437</v>
      </c>
      <c r="G39" s="20" t="s">
        <v>21</v>
      </c>
      <c r="H39" s="20" t="s">
        <v>12</v>
      </c>
      <c r="I39" s="20" t="s">
        <v>50</v>
      </c>
      <c r="K39" s="20" t="s">
        <v>10</v>
      </c>
    </row>
    <row r="40" spans="1:20" s="20" customFormat="1">
      <c r="A40" s="20" t="s">
        <v>382</v>
      </c>
      <c r="B40" s="20" t="s">
        <v>5</v>
      </c>
      <c r="C40" s="43" t="s">
        <v>29</v>
      </c>
      <c r="D40" s="20" t="s">
        <v>507</v>
      </c>
      <c r="E40" s="20" t="s">
        <v>508</v>
      </c>
      <c r="F40" s="20" t="s">
        <v>437</v>
      </c>
      <c r="G40" s="20" t="s">
        <v>21</v>
      </c>
      <c r="H40" s="20" t="s">
        <v>12</v>
      </c>
      <c r="I40" s="20" t="s">
        <v>50</v>
      </c>
      <c r="K40" s="20" t="s">
        <v>10</v>
      </c>
    </row>
    <row r="41" spans="1:20" s="20" customFormat="1">
      <c r="A41" s="20" t="s">
        <v>383</v>
      </c>
      <c r="B41" s="20" t="s">
        <v>55</v>
      </c>
      <c r="C41" s="20" t="s">
        <v>7</v>
      </c>
      <c r="D41" s="20" t="s">
        <v>437</v>
      </c>
      <c r="E41" s="20" t="s">
        <v>21</v>
      </c>
      <c r="F41" s="20" t="s">
        <v>48</v>
      </c>
      <c r="H41" s="20" t="s">
        <v>9</v>
      </c>
      <c r="I41" s="20" t="s">
        <v>49</v>
      </c>
      <c r="L41" s="43" t="s">
        <v>29</v>
      </c>
      <c r="M41" s="20" t="s">
        <v>509</v>
      </c>
      <c r="N41" s="20" t="s">
        <v>510</v>
      </c>
      <c r="O41" s="20" t="s">
        <v>437</v>
      </c>
      <c r="P41" s="20" t="s">
        <v>21</v>
      </c>
      <c r="Q41" s="20" t="s">
        <v>285</v>
      </c>
      <c r="R41" s="20" t="s">
        <v>50</v>
      </c>
      <c r="T41" s="20" t="s">
        <v>10</v>
      </c>
    </row>
    <row r="42" spans="1:20" s="39" customFormat="1">
      <c r="A42" s="39" t="s">
        <v>581</v>
      </c>
      <c r="B42" s="39" t="s">
        <v>55</v>
      </c>
      <c r="C42" s="39" t="s">
        <v>7</v>
      </c>
      <c r="D42" s="39" t="s">
        <v>437</v>
      </c>
      <c r="E42" s="39" t="s">
        <v>21</v>
      </c>
      <c r="F42" s="39" t="s">
        <v>48</v>
      </c>
      <c r="H42" s="39" t="s">
        <v>9</v>
      </c>
      <c r="I42" s="39" t="s">
        <v>49</v>
      </c>
      <c r="L42" s="42" t="s">
        <v>29</v>
      </c>
      <c r="M42" s="39" t="s">
        <v>782</v>
      </c>
      <c r="N42" s="39" t="s">
        <v>781</v>
      </c>
      <c r="O42" s="39" t="s">
        <v>437</v>
      </c>
      <c r="P42" s="39" t="s">
        <v>21</v>
      </c>
      <c r="Q42" s="39" t="s">
        <v>285</v>
      </c>
      <c r="R42" s="39" t="s">
        <v>50</v>
      </c>
      <c r="T42" s="39" t="s">
        <v>10</v>
      </c>
    </row>
    <row r="43" spans="1:20" s="39" customFormat="1">
      <c r="A43" s="39" t="s">
        <v>582</v>
      </c>
      <c r="B43" s="39" t="s">
        <v>5</v>
      </c>
      <c r="C43" s="42" t="s">
        <v>29</v>
      </c>
      <c r="D43" s="39" t="s">
        <v>780</v>
      </c>
      <c r="E43" s="39" t="s">
        <v>781</v>
      </c>
      <c r="F43" s="39" t="s">
        <v>437</v>
      </c>
      <c r="G43" s="39" t="s">
        <v>21</v>
      </c>
      <c r="H43" s="39" t="s">
        <v>12</v>
      </c>
      <c r="I43" s="39" t="s">
        <v>50</v>
      </c>
      <c r="K43" s="39" t="s">
        <v>10</v>
      </c>
      <c r="L43" s="42"/>
    </row>
    <row r="44" spans="1:20" s="39" customFormat="1">
      <c r="A44" s="39" t="s">
        <v>583</v>
      </c>
      <c r="B44" s="39" t="s">
        <v>5</v>
      </c>
      <c r="C44" s="42" t="s">
        <v>42</v>
      </c>
      <c r="D44" s="39" t="s">
        <v>778</v>
      </c>
      <c r="E44" s="39" t="s">
        <v>43</v>
      </c>
      <c r="F44" s="39" t="s">
        <v>437</v>
      </c>
      <c r="G44" s="39" t="s">
        <v>21</v>
      </c>
      <c r="H44" s="39" t="s">
        <v>12</v>
      </c>
      <c r="I44" s="39" t="s">
        <v>57</v>
      </c>
      <c r="K44" s="39" t="s">
        <v>10</v>
      </c>
      <c r="L44" s="42"/>
    </row>
    <row r="45" spans="1:20" s="39" customFormat="1">
      <c r="A45" s="39" t="s">
        <v>584</v>
      </c>
      <c r="B45" s="39" t="s">
        <v>5</v>
      </c>
      <c r="C45" s="42" t="s">
        <v>42</v>
      </c>
      <c r="D45" s="39" t="s">
        <v>779</v>
      </c>
      <c r="E45" s="39" t="s">
        <v>43</v>
      </c>
      <c r="F45" s="39" t="s">
        <v>437</v>
      </c>
      <c r="G45" s="39" t="s">
        <v>21</v>
      </c>
      <c r="H45" s="39" t="s">
        <v>12</v>
      </c>
      <c r="I45" s="39" t="s">
        <v>57</v>
      </c>
      <c r="K45" s="39" t="s">
        <v>10</v>
      </c>
    </row>
    <row r="46" spans="1:20" s="39" customFormat="1">
      <c r="A46" s="39" t="s">
        <v>585</v>
      </c>
      <c r="B46" s="39" t="s">
        <v>5</v>
      </c>
      <c r="C46" s="42" t="s">
        <v>42</v>
      </c>
      <c r="D46" s="39" t="s">
        <v>783</v>
      </c>
      <c r="E46" s="39" t="s">
        <v>43</v>
      </c>
      <c r="F46" s="39" t="s">
        <v>437</v>
      </c>
      <c r="G46" s="39" t="s">
        <v>21</v>
      </c>
      <c r="H46" s="39" t="s">
        <v>12</v>
      </c>
      <c r="I46" s="39" t="s">
        <v>57</v>
      </c>
      <c r="K46" s="39" t="s">
        <v>10</v>
      </c>
    </row>
    <row r="47" spans="1:20" s="39" customFormat="1">
      <c r="A47" s="39" t="s">
        <v>586</v>
      </c>
      <c r="B47" s="39" t="s">
        <v>55</v>
      </c>
      <c r="C47" s="42" t="s">
        <v>53</v>
      </c>
      <c r="D47" s="39" t="s">
        <v>472</v>
      </c>
      <c r="E47" s="39" t="s">
        <v>228</v>
      </c>
      <c r="F47" s="39" t="s">
        <v>61</v>
      </c>
      <c r="H47" s="39" t="s">
        <v>9</v>
      </c>
      <c r="I47" s="39" t="s">
        <v>56</v>
      </c>
      <c r="L47" s="42" t="s">
        <v>42</v>
      </c>
      <c r="M47" s="39" t="s">
        <v>455</v>
      </c>
      <c r="N47" s="39" t="s">
        <v>92</v>
      </c>
      <c r="O47" s="39" t="s">
        <v>472</v>
      </c>
      <c r="P47" s="39" t="s">
        <v>228</v>
      </c>
      <c r="Q47" s="39" t="s">
        <v>285</v>
      </c>
      <c r="R47" s="39" t="s">
        <v>57</v>
      </c>
      <c r="T47" s="39" t="s">
        <v>10</v>
      </c>
    </row>
    <row r="48" spans="1:20" s="39" customFormat="1">
      <c r="A48" s="39" t="s">
        <v>587</v>
      </c>
      <c r="B48" s="39" t="s">
        <v>55</v>
      </c>
      <c r="C48" s="42" t="s">
        <v>53</v>
      </c>
      <c r="D48" s="39" t="s">
        <v>472</v>
      </c>
      <c r="E48" s="39" t="s">
        <v>228</v>
      </c>
      <c r="F48" s="39" t="s">
        <v>48</v>
      </c>
      <c r="H48" s="39" t="s">
        <v>9</v>
      </c>
      <c r="I48" s="39" t="s">
        <v>49</v>
      </c>
      <c r="L48" s="42" t="s">
        <v>29</v>
      </c>
      <c r="M48" s="39" t="s">
        <v>463</v>
      </c>
      <c r="N48" s="39" t="s">
        <v>43</v>
      </c>
      <c r="O48" s="39" t="s">
        <v>472</v>
      </c>
      <c r="P48" s="39" t="s">
        <v>228</v>
      </c>
      <c r="Q48" s="39" t="s">
        <v>285</v>
      </c>
      <c r="R48" s="39" t="s">
        <v>50</v>
      </c>
      <c r="T48" s="39" t="s">
        <v>10</v>
      </c>
    </row>
    <row r="49" spans="1:20" s="39" customFormat="1">
      <c r="A49" s="39" t="s">
        <v>588</v>
      </c>
      <c r="B49" s="39" t="s">
        <v>5</v>
      </c>
      <c r="C49" s="42" t="s">
        <v>29</v>
      </c>
      <c r="D49" s="39" t="s">
        <v>503</v>
      </c>
      <c r="E49" s="39" t="s">
        <v>504</v>
      </c>
      <c r="F49" s="39" t="s">
        <v>472</v>
      </c>
      <c r="G49" s="39" t="s">
        <v>228</v>
      </c>
      <c r="H49" s="39" t="s">
        <v>12</v>
      </c>
      <c r="I49" s="39" t="s">
        <v>50</v>
      </c>
      <c r="K49" s="39" t="s">
        <v>10</v>
      </c>
    </row>
    <row r="50" spans="1:20" s="39" customFormat="1">
      <c r="A50" s="39" t="s">
        <v>589</v>
      </c>
      <c r="B50" s="39" t="s">
        <v>5</v>
      </c>
      <c r="C50" s="42" t="s">
        <v>29</v>
      </c>
      <c r="D50" s="39" t="s">
        <v>505</v>
      </c>
      <c r="E50" s="39" t="s">
        <v>506</v>
      </c>
      <c r="F50" s="39" t="s">
        <v>472</v>
      </c>
      <c r="G50" s="39" t="s">
        <v>228</v>
      </c>
      <c r="H50" s="39" t="s">
        <v>12</v>
      </c>
      <c r="I50" s="39" t="s">
        <v>50</v>
      </c>
      <c r="K50" s="39" t="s">
        <v>10</v>
      </c>
    </row>
    <row r="51" spans="1:20" s="39" customFormat="1">
      <c r="A51" s="39" t="s">
        <v>590</v>
      </c>
      <c r="B51" s="39" t="s">
        <v>5</v>
      </c>
      <c r="C51" s="42" t="s">
        <v>114</v>
      </c>
      <c r="D51" s="39" t="s">
        <v>230</v>
      </c>
      <c r="E51" s="39" t="s">
        <v>231</v>
      </c>
      <c r="H51" s="39" t="s">
        <v>9</v>
      </c>
      <c r="L51" s="42" t="s">
        <v>82</v>
      </c>
      <c r="M51" s="39" t="s">
        <v>115</v>
      </c>
      <c r="N51" s="39" t="s">
        <v>227</v>
      </c>
      <c r="O51" s="39" t="s">
        <v>230</v>
      </c>
      <c r="P51" s="39" t="s">
        <v>231</v>
      </c>
      <c r="Q51" s="39" t="s">
        <v>116</v>
      </c>
      <c r="T51" s="39" t="s">
        <v>10</v>
      </c>
    </row>
    <row r="52" spans="1:20" s="20" customFormat="1">
      <c r="A52" s="20" t="s">
        <v>666</v>
      </c>
      <c r="B52" s="20" t="s">
        <v>5</v>
      </c>
      <c r="C52" s="43" t="s">
        <v>29</v>
      </c>
      <c r="D52" s="20" t="s">
        <v>141</v>
      </c>
      <c r="E52" s="20" t="s">
        <v>43</v>
      </c>
      <c r="F52" s="20" t="s">
        <v>23</v>
      </c>
      <c r="G52" s="20" t="s">
        <v>24</v>
      </c>
      <c r="H52" s="20" t="s">
        <v>12</v>
      </c>
      <c r="I52" s="20" t="s">
        <v>30</v>
      </c>
      <c r="L52" s="43" t="s">
        <v>28</v>
      </c>
      <c r="M52" s="20" t="s">
        <v>48</v>
      </c>
      <c r="N52" s="20" t="s">
        <v>26</v>
      </c>
      <c r="Q52" s="20" t="s">
        <v>9</v>
      </c>
      <c r="R52" s="20" t="s">
        <v>31</v>
      </c>
      <c r="T52" s="20" t="s">
        <v>10</v>
      </c>
    </row>
    <row r="53" spans="1:20" s="20" customFormat="1">
      <c r="A53" s="20" t="s">
        <v>667</v>
      </c>
      <c r="B53" s="20" t="s">
        <v>5</v>
      </c>
      <c r="C53" s="43" t="s">
        <v>29</v>
      </c>
      <c r="D53" s="20" t="s">
        <v>140</v>
      </c>
      <c r="E53" s="20" t="s">
        <v>43</v>
      </c>
      <c r="F53" s="20" t="s">
        <v>23</v>
      </c>
      <c r="G53" s="20" t="s">
        <v>24</v>
      </c>
      <c r="H53" s="20" t="s">
        <v>12</v>
      </c>
      <c r="I53" s="20" t="s">
        <v>30</v>
      </c>
      <c r="L53" s="43" t="s">
        <v>28</v>
      </c>
      <c r="M53" s="20" t="s">
        <v>48</v>
      </c>
      <c r="N53" s="20" t="s">
        <v>26</v>
      </c>
      <c r="Q53" s="20" t="s">
        <v>9</v>
      </c>
      <c r="R53" s="20" t="s">
        <v>31</v>
      </c>
      <c r="T53" s="20" t="s">
        <v>10</v>
      </c>
    </row>
    <row r="54" spans="1:20" s="20" customFormat="1">
      <c r="A54" s="20" t="s">
        <v>668</v>
      </c>
      <c r="B54" s="20" t="s">
        <v>5</v>
      </c>
      <c r="C54" s="43" t="s">
        <v>7</v>
      </c>
      <c r="D54" s="20" t="s">
        <v>144</v>
      </c>
      <c r="E54" s="20" t="s">
        <v>145</v>
      </c>
      <c r="F54" s="20" t="s">
        <v>23</v>
      </c>
      <c r="G54" s="20" t="s">
        <v>24</v>
      </c>
      <c r="H54" s="20" t="s">
        <v>12</v>
      </c>
      <c r="I54" s="20" t="s">
        <v>25</v>
      </c>
      <c r="L54" s="43" t="s">
        <v>28</v>
      </c>
      <c r="M54" s="20" t="s">
        <v>48</v>
      </c>
      <c r="N54" s="20" t="s">
        <v>26</v>
      </c>
      <c r="Q54" s="20" t="s">
        <v>9</v>
      </c>
      <c r="R54" s="20" t="s">
        <v>27</v>
      </c>
      <c r="T54" s="20" t="s">
        <v>10</v>
      </c>
    </row>
    <row r="55" spans="1:20" s="20" customFormat="1">
      <c r="A55" s="20" t="s">
        <v>669</v>
      </c>
      <c r="B55" s="20" t="s">
        <v>5</v>
      </c>
      <c r="C55" s="43" t="s">
        <v>7</v>
      </c>
      <c r="D55" s="20" t="s">
        <v>409</v>
      </c>
      <c r="E55" s="20" t="s">
        <v>372</v>
      </c>
      <c r="F55" s="20" t="s">
        <v>23</v>
      </c>
      <c r="G55" s="20" t="s">
        <v>24</v>
      </c>
      <c r="H55" s="20" t="s">
        <v>12</v>
      </c>
      <c r="I55" s="20" t="s">
        <v>25</v>
      </c>
      <c r="L55" s="43" t="s">
        <v>28</v>
      </c>
      <c r="M55" s="20" t="s">
        <v>48</v>
      </c>
      <c r="N55" s="20" t="s">
        <v>26</v>
      </c>
      <c r="Q55" s="20" t="s">
        <v>9</v>
      </c>
      <c r="R55" s="20" t="s">
        <v>27</v>
      </c>
      <c r="T55" s="20" t="s">
        <v>10</v>
      </c>
    </row>
    <row r="56" spans="1:20" s="20" customFormat="1">
      <c r="A56" s="20" t="s">
        <v>670</v>
      </c>
      <c r="B56" s="20" t="s">
        <v>5</v>
      </c>
      <c r="C56" s="43" t="s">
        <v>7</v>
      </c>
      <c r="D56" s="20" t="s">
        <v>523</v>
      </c>
      <c r="E56" s="20" t="s">
        <v>524</v>
      </c>
      <c r="F56" s="20" t="s">
        <v>23</v>
      </c>
      <c r="G56" s="20" t="s">
        <v>24</v>
      </c>
      <c r="H56" s="20" t="s">
        <v>12</v>
      </c>
      <c r="I56" s="20" t="s">
        <v>25</v>
      </c>
      <c r="L56" s="43" t="s">
        <v>28</v>
      </c>
      <c r="M56" s="20" t="s">
        <v>48</v>
      </c>
      <c r="N56" s="20" t="s">
        <v>26</v>
      </c>
      <c r="Q56" s="20" t="s">
        <v>9</v>
      </c>
      <c r="R56" s="20" t="s">
        <v>27</v>
      </c>
      <c r="T56" s="20" t="s">
        <v>10</v>
      </c>
    </row>
    <row r="57" spans="1:20" s="20" customFormat="1">
      <c r="A57" s="20" t="s">
        <v>671</v>
      </c>
      <c r="B57" s="20" t="s">
        <v>5</v>
      </c>
      <c r="C57" s="43" t="s">
        <v>28</v>
      </c>
      <c r="D57" s="20" t="s">
        <v>48</v>
      </c>
      <c r="E57" s="20" t="s">
        <v>26</v>
      </c>
      <c r="F57" s="20" t="s">
        <v>61</v>
      </c>
      <c r="H57" s="20" t="s">
        <v>9</v>
      </c>
      <c r="I57" s="20" t="s">
        <v>65</v>
      </c>
      <c r="L57" s="43" t="s">
        <v>42</v>
      </c>
      <c r="M57" s="20" t="s">
        <v>139</v>
      </c>
      <c r="N57" s="20" t="s">
        <v>43</v>
      </c>
      <c r="O57" s="20" t="s">
        <v>23</v>
      </c>
      <c r="P57" s="20" t="s">
        <v>24</v>
      </c>
      <c r="Q57" s="20" t="s">
        <v>12</v>
      </c>
      <c r="R57" s="20" t="s">
        <v>66</v>
      </c>
      <c r="T57" s="20" t="s">
        <v>10</v>
      </c>
    </row>
    <row r="58" spans="1:20" s="20" customFormat="1">
      <c r="A58" s="20" t="s">
        <v>672</v>
      </c>
      <c r="B58" s="20" t="s">
        <v>5</v>
      </c>
      <c r="C58" s="43" t="s">
        <v>28</v>
      </c>
      <c r="D58" s="20" t="s">
        <v>48</v>
      </c>
      <c r="E58" s="20" t="s">
        <v>26</v>
      </c>
      <c r="H58" s="20" t="s">
        <v>9</v>
      </c>
      <c r="I58" s="20" t="s">
        <v>384</v>
      </c>
      <c r="L58" s="43" t="s">
        <v>7</v>
      </c>
      <c r="M58" s="20" t="s">
        <v>144</v>
      </c>
      <c r="N58" s="20" t="s">
        <v>145</v>
      </c>
      <c r="O58" s="20" t="s">
        <v>23</v>
      </c>
      <c r="P58" s="20" t="s">
        <v>24</v>
      </c>
      <c r="Q58" s="20" t="s">
        <v>12</v>
      </c>
      <c r="R58" s="20" t="s">
        <v>25</v>
      </c>
      <c r="T58" s="20" t="s">
        <v>10</v>
      </c>
    </row>
    <row r="59" spans="1:20" s="20" customFormat="1">
      <c r="A59" s="20" t="s">
        <v>673</v>
      </c>
      <c r="B59" s="20" t="s">
        <v>5</v>
      </c>
      <c r="C59" s="43" t="s">
        <v>28</v>
      </c>
      <c r="D59" s="20" t="s">
        <v>48</v>
      </c>
      <c r="E59" s="20" t="s">
        <v>26</v>
      </c>
      <c r="H59" s="20" t="s">
        <v>9</v>
      </c>
      <c r="I59" s="20" t="s">
        <v>384</v>
      </c>
      <c r="L59" s="43" t="s">
        <v>7</v>
      </c>
      <c r="M59" s="20" t="s">
        <v>409</v>
      </c>
      <c r="N59" s="20" t="s">
        <v>372</v>
      </c>
      <c r="O59" s="20" t="s">
        <v>23</v>
      </c>
      <c r="P59" s="20" t="s">
        <v>24</v>
      </c>
      <c r="Q59" s="20" t="s">
        <v>12</v>
      </c>
      <c r="R59" s="20" t="s">
        <v>25</v>
      </c>
      <c r="T59" s="20" t="s">
        <v>10</v>
      </c>
    </row>
    <row r="60" spans="1:20" s="20" customFormat="1">
      <c r="A60" s="20" t="s">
        <v>674</v>
      </c>
      <c r="B60" s="20" t="s">
        <v>5</v>
      </c>
      <c r="C60" s="43" t="s">
        <v>7</v>
      </c>
      <c r="D60" s="20" t="s">
        <v>402</v>
      </c>
      <c r="E60" s="20" t="s">
        <v>403</v>
      </c>
      <c r="F60" s="20" t="s">
        <v>54</v>
      </c>
      <c r="G60" s="20" t="s">
        <v>26</v>
      </c>
      <c r="H60" s="20" t="s">
        <v>12</v>
      </c>
      <c r="I60" s="20" t="s">
        <v>25</v>
      </c>
      <c r="L60" s="43" t="s">
        <v>28</v>
      </c>
      <c r="M60" s="20" t="s">
        <v>48</v>
      </c>
      <c r="N60" s="20" t="s">
        <v>26</v>
      </c>
      <c r="Q60" s="20" t="s">
        <v>9</v>
      </c>
      <c r="R60" s="20" t="s">
        <v>27</v>
      </c>
      <c r="T60" s="20" t="s">
        <v>10</v>
      </c>
    </row>
    <row r="61" spans="1:20" s="20" customFormat="1">
      <c r="A61" s="20" t="s">
        <v>675</v>
      </c>
      <c r="B61" s="20" t="s">
        <v>5</v>
      </c>
      <c r="C61" s="43" t="s">
        <v>7</v>
      </c>
      <c r="D61" s="20" t="s">
        <v>415</v>
      </c>
      <c r="E61" s="20" t="s">
        <v>416</v>
      </c>
      <c r="F61" s="20" t="s">
        <v>54</v>
      </c>
      <c r="G61" s="20" t="s">
        <v>26</v>
      </c>
      <c r="H61" s="20" t="s">
        <v>12</v>
      </c>
      <c r="I61" s="20" t="s">
        <v>25</v>
      </c>
      <c r="L61" s="43" t="s">
        <v>28</v>
      </c>
      <c r="M61" s="20" t="s">
        <v>48</v>
      </c>
      <c r="N61" s="20" t="s">
        <v>26</v>
      </c>
      <c r="Q61" s="20" t="s">
        <v>9</v>
      </c>
      <c r="R61" s="20" t="s">
        <v>27</v>
      </c>
      <c r="T61" s="20" t="s">
        <v>10</v>
      </c>
    </row>
    <row r="62" spans="1:20" s="39" customFormat="1">
      <c r="A62" s="39" t="s">
        <v>676</v>
      </c>
      <c r="B62" s="39" t="s">
        <v>5</v>
      </c>
      <c r="C62" s="42" t="s">
        <v>29</v>
      </c>
      <c r="D62" s="39" t="s">
        <v>248</v>
      </c>
      <c r="E62" s="39" t="s">
        <v>43</v>
      </c>
      <c r="F62" s="39" t="s">
        <v>54</v>
      </c>
      <c r="G62" s="39" t="s">
        <v>26</v>
      </c>
      <c r="H62" s="39" t="s">
        <v>12</v>
      </c>
      <c r="I62" s="39" t="s">
        <v>30</v>
      </c>
      <c r="L62" s="42" t="s">
        <v>28</v>
      </c>
      <c r="M62" s="39" t="s">
        <v>48</v>
      </c>
      <c r="N62" s="39" t="s">
        <v>26</v>
      </c>
      <c r="Q62" s="39" t="s">
        <v>9</v>
      </c>
      <c r="R62" s="39" t="s">
        <v>31</v>
      </c>
      <c r="T62" s="39" t="s">
        <v>10</v>
      </c>
    </row>
    <row r="63" spans="1:20" s="39" customFormat="1">
      <c r="A63" s="39" t="s">
        <v>677</v>
      </c>
      <c r="B63" s="39" t="s">
        <v>5</v>
      </c>
      <c r="C63" s="42" t="s">
        <v>28</v>
      </c>
      <c r="D63" s="39" t="s">
        <v>48</v>
      </c>
      <c r="E63" s="39" t="s">
        <v>26</v>
      </c>
      <c r="F63" s="39" t="s">
        <v>61</v>
      </c>
      <c r="H63" s="39" t="s">
        <v>9</v>
      </c>
      <c r="I63" s="39" t="s">
        <v>65</v>
      </c>
      <c r="L63" s="42" t="s">
        <v>42</v>
      </c>
      <c r="M63" s="39" t="s">
        <v>417</v>
      </c>
      <c r="N63" s="39" t="s">
        <v>43</v>
      </c>
      <c r="O63" s="39" t="s">
        <v>54</v>
      </c>
      <c r="P63" s="39" t="s">
        <v>26</v>
      </c>
      <c r="Q63" s="39" t="s">
        <v>12</v>
      </c>
      <c r="R63" s="39" t="s">
        <v>66</v>
      </c>
      <c r="T63" s="39" t="s">
        <v>10</v>
      </c>
    </row>
    <row r="64" spans="1:20" s="39" customFormat="1">
      <c r="A64" s="39" t="s">
        <v>678</v>
      </c>
      <c r="B64" s="39" t="s">
        <v>5</v>
      </c>
      <c r="C64" s="42" t="s">
        <v>28</v>
      </c>
      <c r="D64" s="39" t="s">
        <v>48</v>
      </c>
      <c r="E64" s="39" t="s">
        <v>26</v>
      </c>
      <c r="H64" s="39" t="s">
        <v>9</v>
      </c>
      <c r="I64" s="39" t="s">
        <v>384</v>
      </c>
      <c r="L64" s="42" t="s">
        <v>7</v>
      </c>
      <c r="M64" s="39" t="s">
        <v>776</v>
      </c>
      <c r="N64" s="39" t="s">
        <v>777</v>
      </c>
      <c r="O64" s="39" t="s">
        <v>665</v>
      </c>
      <c r="P64" s="39" t="s">
        <v>26</v>
      </c>
      <c r="Q64" s="39" t="s">
        <v>12</v>
      </c>
      <c r="R64" s="39" t="s">
        <v>25</v>
      </c>
      <c r="T64" s="39" t="s">
        <v>10</v>
      </c>
    </row>
    <row r="65" spans="1:20" s="39" customFormat="1">
      <c r="A65" s="39" t="s">
        <v>679</v>
      </c>
      <c r="B65" s="39" t="s">
        <v>55</v>
      </c>
      <c r="C65" s="42" t="s">
        <v>28</v>
      </c>
      <c r="D65" s="39" t="s">
        <v>664</v>
      </c>
      <c r="E65" s="39" t="s">
        <v>26</v>
      </c>
      <c r="F65" s="39" t="s">
        <v>61</v>
      </c>
      <c r="H65" s="39" t="s">
        <v>9</v>
      </c>
      <c r="I65" s="39" t="s">
        <v>65</v>
      </c>
      <c r="L65" s="42" t="s">
        <v>42</v>
      </c>
      <c r="M65" s="39" t="s">
        <v>141</v>
      </c>
      <c r="N65" s="39" t="s">
        <v>43</v>
      </c>
      <c r="O65" s="39" t="s">
        <v>664</v>
      </c>
      <c r="P65" s="39" t="s">
        <v>26</v>
      </c>
      <c r="Q65" s="39" t="s">
        <v>284</v>
      </c>
      <c r="R65" s="39" t="s">
        <v>66</v>
      </c>
      <c r="T65" s="39" t="s">
        <v>10</v>
      </c>
    </row>
    <row r="66" spans="1:20" s="39" customFormat="1">
      <c r="A66" s="39" t="s">
        <v>680</v>
      </c>
      <c r="B66" s="39" t="s">
        <v>55</v>
      </c>
      <c r="C66" s="42" t="s">
        <v>7</v>
      </c>
      <c r="D66" s="39" t="s">
        <v>525</v>
      </c>
      <c r="E66" s="39" t="s">
        <v>526</v>
      </c>
      <c r="F66" s="39" t="s">
        <v>664</v>
      </c>
      <c r="G66" s="39" t="s">
        <v>26</v>
      </c>
      <c r="H66" s="39" t="s">
        <v>284</v>
      </c>
      <c r="I66" s="39" t="s">
        <v>25</v>
      </c>
      <c r="L66" s="42" t="s">
        <v>28</v>
      </c>
      <c r="M66" s="39" t="s">
        <v>48</v>
      </c>
      <c r="N66" s="39" t="s">
        <v>26</v>
      </c>
      <c r="Q66" s="39" t="s">
        <v>9</v>
      </c>
      <c r="R66" s="39" t="s">
        <v>27</v>
      </c>
      <c r="T66" s="39" t="s">
        <v>10</v>
      </c>
    </row>
    <row r="67" spans="1:20" s="39" customFormat="1">
      <c r="A67" s="39" t="s">
        <v>681</v>
      </c>
      <c r="B67" s="39" t="s">
        <v>55</v>
      </c>
      <c r="C67" s="42" t="s">
        <v>7</v>
      </c>
      <c r="D67" s="39" t="s">
        <v>408</v>
      </c>
      <c r="E67" s="39" t="s">
        <v>391</v>
      </c>
      <c r="F67" s="39" t="s">
        <v>664</v>
      </c>
      <c r="G67" s="39" t="s">
        <v>26</v>
      </c>
      <c r="H67" s="39" t="s">
        <v>284</v>
      </c>
      <c r="I67" s="39" t="s">
        <v>25</v>
      </c>
      <c r="L67" s="42" t="s">
        <v>28</v>
      </c>
      <c r="M67" s="39" t="s">
        <v>48</v>
      </c>
      <c r="N67" s="39" t="s">
        <v>26</v>
      </c>
      <c r="Q67" s="39" t="s">
        <v>9</v>
      </c>
      <c r="R67" s="39" t="s">
        <v>27</v>
      </c>
      <c r="T67" s="39" t="s">
        <v>10</v>
      </c>
    </row>
    <row r="68" spans="1:20" s="39" customFormat="1">
      <c r="A68" s="39" t="s">
        <v>682</v>
      </c>
      <c r="B68" s="39" t="s">
        <v>55</v>
      </c>
      <c r="C68" s="42" t="s">
        <v>7</v>
      </c>
      <c r="D68" s="39" t="s">
        <v>418</v>
      </c>
      <c r="E68" s="39" t="s">
        <v>419</v>
      </c>
      <c r="F68" s="39" t="s">
        <v>664</v>
      </c>
      <c r="G68" s="39" t="s">
        <v>26</v>
      </c>
      <c r="H68" s="39" t="s">
        <v>477</v>
      </c>
      <c r="I68" s="39" t="s">
        <v>25</v>
      </c>
      <c r="L68" s="42" t="s">
        <v>28</v>
      </c>
      <c r="M68" s="39" t="s">
        <v>48</v>
      </c>
      <c r="N68" s="39" t="s">
        <v>26</v>
      </c>
      <c r="Q68" s="39" t="s">
        <v>9</v>
      </c>
      <c r="R68" s="39" t="s">
        <v>27</v>
      </c>
      <c r="T68" s="39" t="s">
        <v>10</v>
      </c>
    </row>
    <row r="69" spans="1:20" s="39" customFormat="1">
      <c r="A69" s="39" t="s">
        <v>683</v>
      </c>
      <c r="B69" s="39" t="s">
        <v>55</v>
      </c>
      <c r="C69" s="42" t="s">
        <v>29</v>
      </c>
      <c r="D69" s="39" t="s">
        <v>464</v>
      </c>
      <c r="E69" s="39" t="s">
        <v>92</v>
      </c>
      <c r="F69" s="39" t="s">
        <v>664</v>
      </c>
      <c r="G69" s="39" t="s">
        <v>26</v>
      </c>
      <c r="H69" s="39" t="s">
        <v>477</v>
      </c>
      <c r="I69" s="39" t="s">
        <v>30</v>
      </c>
      <c r="L69" s="42" t="s">
        <v>28</v>
      </c>
      <c r="M69" s="39" t="s">
        <v>48</v>
      </c>
      <c r="N69" s="39" t="s">
        <v>26</v>
      </c>
      <c r="Q69" s="39" t="s">
        <v>9</v>
      </c>
      <c r="R69" s="39" t="s">
        <v>31</v>
      </c>
      <c r="T69" s="39" t="s">
        <v>10</v>
      </c>
    </row>
    <row r="70" spans="1:20" s="39" customFormat="1">
      <c r="A70" s="39" t="s">
        <v>684</v>
      </c>
      <c r="B70" s="39" t="s">
        <v>5</v>
      </c>
      <c r="C70" s="42" t="s">
        <v>29</v>
      </c>
      <c r="D70" s="39" t="s">
        <v>142</v>
      </c>
      <c r="E70" s="39" t="s">
        <v>143</v>
      </c>
      <c r="F70" s="39" t="s">
        <v>665</v>
      </c>
      <c r="G70" s="39" t="s">
        <v>26</v>
      </c>
      <c r="H70" s="39" t="s">
        <v>12</v>
      </c>
      <c r="I70" s="39" t="s">
        <v>30</v>
      </c>
      <c r="L70" s="42" t="s">
        <v>28</v>
      </c>
      <c r="M70" s="39" t="s">
        <v>48</v>
      </c>
      <c r="N70" s="39" t="s">
        <v>26</v>
      </c>
      <c r="Q70" s="39" t="s">
        <v>9</v>
      </c>
      <c r="R70" s="39" t="s">
        <v>31</v>
      </c>
      <c r="T70" s="39" t="s">
        <v>10</v>
      </c>
    </row>
    <row r="71" spans="1:20" s="39" customFormat="1">
      <c r="A71" s="39" t="s">
        <v>685</v>
      </c>
      <c r="B71" s="39" t="s">
        <v>5</v>
      </c>
      <c r="C71" s="42" t="s">
        <v>7</v>
      </c>
      <c r="D71" s="39" t="s">
        <v>406</v>
      </c>
      <c r="E71" s="39" t="s">
        <v>407</v>
      </c>
      <c r="F71" s="39" t="s">
        <v>665</v>
      </c>
      <c r="G71" s="39" t="s">
        <v>26</v>
      </c>
      <c r="H71" s="39" t="s">
        <v>12</v>
      </c>
      <c r="I71" s="39" t="s">
        <v>25</v>
      </c>
      <c r="L71" s="42" t="s">
        <v>28</v>
      </c>
      <c r="M71" s="39" t="s">
        <v>48</v>
      </c>
      <c r="N71" s="39" t="s">
        <v>26</v>
      </c>
      <c r="Q71" s="39" t="s">
        <v>9</v>
      </c>
      <c r="R71" s="39" t="s">
        <v>27</v>
      </c>
      <c r="T71" s="39" t="s">
        <v>10</v>
      </c>
    </row>
    <row r="72" spans="1:20" s="20" customFormat="1">
      <c r="A72" s="20" t="s">
        <v>945</v>
      </c>
      <c r="B72" s="20" t="s">
        <v>5</v>
      </c>
      <c r="C72" s="43" t="s">
        <v>7</v>
      </c>
      <c r="D72" s="20" t="s">
        <v>410</v>
      </c>
      <c r="E72" s="20" t="s">
        <v>411</v>
      </c>
      <c r="F72" s="20" t="s">
        <v>467</v>
      </c>
      <c r="G72" s="20" t="s">
        <v>471</v>
      </c>
      <c r="H72" s="20" t="s">
        <v>12</v>
      </c>
      <c r="I72" s="20" t="s">
        <v>25</v>
      </c>
      <c r="L72" s="43" t="s">
        <v>28</v>
      </c>
      <c r="M72" s="20" t="s">
        <v>48</v>
      </c>
      <c r="N72" s="20" t="s">
        <v>470</v>
      </c>
      <c r="Q72" s="20" t="s">
        <v>9</v>
      </c>
      <c r="R72" s="19" t="s">
        <v>27</v>
      </c>
      <c r="T72" s="20" t="s">
        <v>10</v>
      </c>
    </row>
    <row r="73" spans="1:20" s="20" customFormat="1">
      <c r="A73" s="20" t="s">
        <v>946</v>
      </c>
      <c r="B73" s="20" t="s">
        <v>5</v>
      </c>
      <c r="C73" s="43" t="s">
        <v>42</v>
      </c>
      <c r="D73" s="20" t="s">
        <v>533</v>
      </c>
      <c r="E73" s="20" t="s">
        <v>534</v>
      </c>
      <c r="F73" s="20" t="s">
        <v>467</v>
      </c>
      <c r="G73" s="20" t="s">
        <v>471</v>
      </c>
      <c r="H73" s="20" t="s">
        <v>12</v>
      </c>
      <c r="I73" s="20" t="s">
        <v>542</v>
      </c>
      <c r="L73" s="43" t="s">
        <v>28</v>
      </c>
      <c r="M73" s="20" t="s">
        <v>48</v>
      </c>
      <c r="N73" s="20" t="s">
        <v>470</v>
      </c>
      <c r="Q73" s="20" t="s">
        <v>9</v>
      </c>
      <c r="R73" s="20" t="s">
        <v>65</v>
      </c>
      <c r="T73" s="20" t="s">
        <v>10</v>
      </c>
    </row>
    <row r="74" spans="1:20" s="20" customFormat="1">
      <c r="A74" s="20" t="s">
        <v>947</v>
      </c>
      <c r="B74" s="20" t="s">
        <v>5</v>
      </c>
      <c r="C74" s="43" t="s">
        <v>7</v>
      </c>
      <c r="D74" s="20" t="s">
        <v>521</v>
      </c>
      <c r="E74" s="20" t="s">
        <v>522</v>
      </c>
      <c r="F74" s="20" t="s">
        <v>467</v>
      </c>
      <c r="G74" s="20" t="s">
        <v>470</v>
      </c>
      <c r="H74" s="20" t="s">
        <v>12</v>
      </c>
      <c r="I74" s="20" t="s">
        <v>25</v>
      </c>
      <c r="L74" s="43" t="s">
        <v>28</v>
      </c>
      <c r="M74" s="20" t="s">
        <v>48</v>
      </c>
      <c r="N74" s="20" t="s">
        <v>275</v>
      </c>
      <c r="Q74" s="20" t="s">
        <v>9</v>
      </c>
      <c r="R74" s="20" t="s">
        <v>27</v>
      </c>
      <c r="T74" s="20" t="s">
        <v>10</v>
      </c>
    </row>
    <row r="75" spans="1:20" s="20" customFormat="1">
      <c r="A75" s="20" t="s">
        <v>948</v>
      </c>
      <c r="B75" s="20" t="s">
        <v>5</v>
      </c>
      <c r="C75" s="43" t="s">
        <v>7</v>
      </c>
      <c r="D75" s="20" t="s">
        <v>528</v>
      </c>
      <c r="E75" s="20" t="s">
        <v>529</v>
      </c>
      <c r="F75" s="20" t="s">
        <v>467</v>
      </c>
      <c r="G75" s="20" t="s">
        <v>470</v>
      </c>
      <c r="H75" s="20" t="s">
        <v>12</v>
      </c>
      <c r="I75" s="20" t="s">
        <v>25</v>
      </c>
      <c r="L75" s="43" t="s">
        <v>28</v>
      </c>
      <c r="M75" s="20" t="s">
        <v>48</v>
      </c>
      <c r="N75" s="20" t="s">
        <v>470</v>
      </c>
      <c r="Q75" s="20" t="s">
        <v>9</v>
      </c>
      <c r="R75" s="20" t="s">
        <v>27</v>
      </c>
      <c r="T75" s="20" t="s">
        <v>10</v>
      </c>
    </row>
    <row r="76" spans="1:20" s="20" customFormat="1">
      <c r="A76" s="20" t="s">
        <v>949</v>
      </c>
      <c r="B76" s="20" t="s">
        <v>5</v>
      </c>
      <c r="C76" s="43" t="s">
        <v>29</v>
      </c>
      <c r="D76" s="20" t="s">
        <v>141</v>
      </c>
      <c r="E76" s="20" t="s">
        <v>462</v>
      </c>
      <c r="F76" s="20" t="s">
        <v>467</v>
      </c>
      <c r="G76" s="20" t="s">
        <v>470</v>
      </c>
      <c r="H76" s="20" t="s">
        <v>12</v>
      </c>
      <c r="I76" s="20" t="s">
        <v>527</v>
      </c>
      <c r="L76" s="43" t="s">
        <v>28</v>
      </c>
      <c r="M76" s="20" t="s">
        <v>48</v>
      </c>
      <c r="N76" s="20" t="s">
        <v>470</v>
      </c>
      <c r="Q76" s="20" t="s">
        <v>9</v>
      </c>
      <c r="R76" s="20" t="s">
        <v>31</v>
      </c>
      <c r="T76" s="20" t="s">
        <v>10</v>
      </c>
    </row>
    <row r="77" spans="1:20" s="20" customFormat="1">
      <c r="A77" s="20" t="s">
        <v>950</v>
      </c>
      <c r="B77" s="20" t="s">
        <v>5</v>
      </c>
      <c r="C77" s="43" t="s">
        <v>42</v>
      </c>
      <c r="D77" s="20" t="s">
        <v>531</v>
      </c>
      <c r="E77" s="20" t="s">
        <v>532</v>
      </c>
      <c r="F77" s="20" t="s">
        <v>467</v>
      </c>
      <c r="G77" s="20" t="s">
        <v>470</v>
      </c>
      <c r="H77" s="20" t="s">
        <v>12</v>
      </c>
      <c r="I77" s="20" t="s">
        <v>542</v>
      </c>
      <c r="L77" s="43" t="s">
        <v>28</v>
      </c>
      <c r="M77" s="20" t="s">
        <v>48</v>
      </c>
      <c r="N77" s="20" t="s">
        <v>470</v>
      </c>
      <c r="Q77" s="20" t="s">
        <v>9</v>
      </c>
      <c r="R77" s="20" t="s">
        <v>65</v>
      </c>
      <c r="T77" s="20" t="s">
        <v>10</v>
      </c>
    </row>
    <row r="78" spans="1:20" s="20" customFormat="1">
      <c r="A78" s="20" t="s">
        <v>951</v>
      </c>
      <c r="B78" s="20" t="s">
        <v>55</v>
      </c>
      <c r="C78" s="43" t="s">
        <v>7</v>
      </c>
      <c r="D78" s="20" t="s">
        <v>515</v>
      </c>
      <c r="E78" s="20" t="s">
        <v>516</v>
      </c>
      <c r="F78" s="20" t="s">
        <v>467</v>
      </c>
      <c r="G78" s="20" t="s">
        <v>468</v>
      </c>
      <c r="H78" s="20" t="s">
        <v>501</v>
      </c>
      <c r="I78" s="20" t="s">
        <v>25</v>
      </c>
      <c r="L78" s="43" t="s">
        <v>28</v>
      </c>
      <c r="M78" s="20" t="s">
        <v>48</v>
      </c>
      <c r="N78" s="20" t="s">
        <v>275</v>
      </c>
      <c r="Q78" s="20" t="s">
        <v>9</v>
      </c>
      <c r="R78" s="20" t="s">
        <v>27</v>
      </c>
      <c r="T78" s="20" t="s">
        <v>10</v>
      </c>
    </row>
    <row r="79" spans="1:20" s="20" customFormat="1">
      <c r="A79" s="20" t="s">
        <v>952</v>
      </c>
      <c r="B79" s="20" t="s">
        <v>55</v>
      </c>
      <c r="C79" s="43" t="s">
        <v>7</v>
      </c>
      <c r="D79" s="20" t="s">
        <v>540</v>
      </c>
      <c r="E79" s="20" t="s">
        <v>541</v>
      </c>
      <c r="F79" s="20" t="s">
        <v>467</v>
      </c>
      <c r="G79" s="20" t="s">
        <v>468</v>
      </c>
      <c r="H79" s="20" t="s">
        <v>501</v>
      </c>
      <c r="I79" s="20" t="s">
        <v>25</v>
      </c>
      <c r="L79" s="43" t="s">
        <v>28</v>
      </c>
      <c r="M79" s="20" t="s">
        <v>48</v>
      </c>
      <c r="N79" s="20" t="s">
        <v>470</v>
      </c>
      <c r="Q79" s="20" t="s">
        <v>9</v>
      </c>
      <c r="R79" s="20" t="s">
        <v>27</v>
      </c>
      <c r="T79" s="20" t="s">
        <v>10</v>
      </c>
    </row>
    <row r="80" spans="1:20" s="20" customFormat="1">
      <c r="A80" s="20" t="s">
        <v>953</v>
      </c>
      <c r="B80" s="20" t="s">
        <v>55</v>
      </c>
      <c r="C80" s="43" t="s">
        <v>29</v>
      </c>
      <c r="D80" s="20" t="s">
        <v>535</v>
      </c>
      <c r="E80" s="20" t="s">
        <v>534</v>
      </c>
      <c r="F80" s="20" t="s">
        <v>467</v>
      </c>
      <c r="G80" s="20" t="s">
        <v>468</v>
      </c>
      <c r="H80" s="20" t="s">
        <v>501</v>
      </c>
      <c r="I80" s="20" t="s">
        <v>527</v>
      </c>
      <c r="L80" s="43" t="s">
        <v>28</v>
      </c>
      <c r="M80" s="20" t="s">
        <v>48</v>
      </c>
      <c r="N80" s="20" t="s">
        <v>470</v>
      </c>
      <c r="Q80" s="20" t="s">
        <v>9</v>
      </c>
      <c r="R80" s="20" t="s">
        <v>31</v>
      </c>
      <c r="T80" s="20" t="s">
        <v>10</v>
      </c>
    </row>
    <row r="81" spans="1:20" s="20" customFormat="1">
      <c r="A81" s="20" t="s">
        <v>954</v>
      </c>
      <c r="B81" s="20" t="s">
        <v>55</v>
      </c>
      <c r="C81" s="43" t="s">
        <v>29</v>
      </c>
      <c r="D81" s="20" t="s">
        <v>513</v>
      </c>
      <c r="E81" s="20" t="s">
        <v>514</v>
      </c>
      <c r="F81" s="20" t="s">
        <v>467</v>
      </c>
      <c r="G81" s="20" t="s">
        <v>468</v>
      </c>
      <c r="H81" s="20" t="s">
        <v>501</v>
      </c>
      <c r="I81" s="20" t="s">
        <v>30</v>
      </c>
      <c r="L81" s="43" t="s">
        <v>28</v>
      </c>
      <c r="M81" s="20" t="s">
        <v>48</v>
      </c>
      <c r="N81" s="20" t="s">
        <v>275</v>
      </c>
      <c r="Q81" s="20" t="s">
        <v>9</v>
      </c>
      <c r="R81" s="20" t="s">
        <v>31</v>
      </c>
      <c r="T81" s="20" t="s">
        <v>10</v>
      </c>
    </row>
    <row r="82" spans="1:20" s="39" customFormat="1">
      <c r="A82" s="39" t="s">
        <v>955</v>
      </c>
      <c r="B82" s="39" t="s">
        <v>5</v>
      </c>
      <c r="C82" s="42" t="s">
        <v>29</v>
      </c>
      <c r="D82" s="39" t="s">
        <v>536</v>
      </c>
      <c r="E82" s="39" t="s">
        <v>537</v>
      </c>
      <c r="F82" s="39" t="s">
        <v>478</v>
      </c>
      <c r="G82" s="39" t="s">
        <v>469</v>
      </c>
      <c r="H82" s="39" t="s">
        <v>12</v>
      </c>
      <c r="I82" s="39" t="s">
        <v>527</v>
      </c>
      <c r="L82" s="42" t="s">
        <v>28</v>
      </c>
      <c r="M82" s="39" t="s">
        <v>48</v>
      </c>
      <c r="N82" s="39" t="s">
        <v>26</v>
      </c>
      <c r="Q82" s="39" t="s">
        <v>9</v>
      </c>
      <c r="R82" s="39" t="s">
        <v>31</v>
      </c>
      <c r="T82" s="39" t="s">
        <v>10</v>
      </c>
    </row>
    <row r="83" spans="1:20" s="39" customFormat="1">
      <c r="A83" s="39" t="s">
        <v>956</v>
      </c>
      <c r="B83" s="39" t="s">
        <v>5</v>
      </c>
      <c r="C83" s="42" t="s">
        <v>29</v>
      </c>
      <c r="D83" s="39" t="s">
        <v>413</v>
      </c>
      <c r="E83" s="39" t="s">
        <v>414</v>
      </c>
      <c r="F83" s="39" t="s">
        <v>478</v>
      </c>
      <c r="G83" s="39" t="s">
        <v>469</v>
      </c>
      <c r="H83" s="39" t="s">
        <v>12</v>
      </c>
      <c r="I83" s="39" t="s">
        <v>30</v>
      </c>
      <c r="L83" s="42" t="s">
        <v>28</v>
      </c>
      <c r="M83" s="39" t="s">
        <v>48</v>
      </c>
      <c r="N83" s="39" t="s">
        <v>26</v>
      </c>
      <c r="Q83" s="39" t="s">
        <v>9</v>
      </c>
      <c r="R83" s="39" t="s">
        <v>31</v>
      </c>
      <c r="T83" s="39" t="s">
        <v>10</v>
      </c>
    </row>
    <row r="84" spans="1:20" s="39" customFormat="1">
      <c r="A84" s="39" t="s">
        <v>957</v>
      </c>
      <c r="B84" s="39" t="s">
        <v>5</v>
      </c>
      <c r="C84" s="42" t="s">
        <v>7</v>
      </c>
      <c r="D84" s="39" t="s">
        <v>519</v>
      </c>
      <c r="E84" s="39" t="s">
        <v>520</v>
      </c>
      <c r="F84" s="39" t="s">
        <v>500</v>
      </c>
      <c r="G84" s="39" t="s">
        <v>471</v>
      </c>
      <c r="H84" s="39" t="s">
        <v>12</v>
      </c>
      <c r="I84" s="39" t="s">
        <v>25</v>
      </c>
      <c r="L84" s="42" t="s">
        <v>28</v>
      </c>
      <c r="M84" s="39" t="s">
        <v>48</v>
      </c>
      <c r="N84" s="39" t="s">
        <v>26</v>
      </c>
      <c r="Q84" s="39" t="s">
        <v>9</v>
      </c>
      <c r="R84" s="39" t="s">
        <v>27</v>
      </c>
      <c r="T84" s="39" t="s">
        <v>10</v>
      </c>
    </row>
    <row r="85" spans="1:20" s="39" customFormat="1">
      <c r="A85" s="39" t="s">
        <v>958</v>
      </c>
      <c r="B85" s="39" t="s">
        <v>5</v>
      </c>
      <c r="C85" s="42" t="s">
        <v>29</v>
      </c>
      <c r="D85" s="39" t="s">
        <v>538</v>
      </c>
      <c r="E85" s="39" t="s">
        <v>539</v>
      </c>
      <c r="F85" s="39" t="s">
        <v>500</v>
      </c>
      <c r="G85" s="39" t="s">
        <v>471</v>
      </c>
      <c r="H85" s="39" t="s">
        <v>12</v>
      </c>
      <c r="I85" s="39" t="s">
        <v>527</v>
      </c>
      <c r="L85" s="42" t="s">
        <v>28</v>
      </c>
      <c r="M85" s="39" t="s">
        <v>48</v>
      </c>
      <c r="N85" s="39" t="s">
        <v>470</v>
      </c>
      <c r="Q85" s="39" t="s">
        <v>9</v>
      </c>
      <c r="R85" s="39" t="s">
        <v>31</v>
      </c>
      <c r="T85" s="39" t="s">
        <v>10</v>
      </c>
    </row>
    <row r="86" spans="1:20" s="39" customFormat="1">
      <c r="A86" s="39" t="s">
        <v>959</v>
      </c>
      <c r="B86" s="39" t="s">
        <v>55</v>
      </c>
      <c r="C86" s="42" t="s">
        <v>7</v>
      </c>
      <c r="D86" s="39" t="s">
        <v>530</v>
      </c>
      <c r="E86" s="39" t="s">
        <v>145</v>
      </c>
      <c r="F86" s="39" t="s">
        <v>475</v>
      </c>
      <c r="G86" s="39" t="s">
        <v>476</v>
      </c>
      <c r="H86" s="39" t="s">
        <v>477</v>
      </c>
      <c r="I86" s="39" t="s">
        <v>25</v>
      </c>
      <c r="L86" s="42" t="s">
        <v>28</v>
      </c>
      <c r="M86" s="39" t="s">
        <v>48</v>
      </c>
      <c r="N86" s="39" t="s">
        <v>470</v>
      </c>
      <c r="Q86" s="39" t="s">
        <v>9</v>
      </c>
      <c r="R86" s="39" t="s">
        <v>27</v>
      </c>
      <c r="T86" s="39" t="s">
        <v>10</v>
      </c>
    </row>
    <row r="87" spans="1:20" s="39" customFormat="1">
      <c r="A87" s="39" t="s">
        <v>960</v>
      </c>
      <c r="B87" s="39" t="s">
        <v>55</v>
      </c>
      <c r="C87" s="42" t="s">
        <v>29</v>
      </c>
      <c r="D87" s="39" t="s">
        <v>511</v>
      </c>
      <c r="E87" s="39" t="s">
        <v>512</v>
      </c>
      <c r="F87" s="39" t="s">
        <v>475</v>
      </c>
      <c r="G87" s="39" t="s">
        <v>476</v>
      </c>
      <c r="H87" s="39" t="s">
        <v>477</v>
      </c>
      <c r="I87" s="39" t="s">
        <v>30</v>
      </c>
      <c r="L87" s="42" t="s">
        <v>28</v>
      </c>
      <c r="M87" s="39" t="s">
        <v>48</v>
      </c>
      <c r="N87" s="39" t="s">
        <v>470</v>
      </c>
      <c r="Q87" s="39" t="s">
        <v>9</v>
      </c>
      <c r="R87" s="39" t="s">
        <v>31</v>
      </c>
      <c r="T87" s="39" t="s">
        <v>10</v>
      </c>
    </row>
    <row r="88" spans="1:20" s="39" customFormat="1">
      <c r="A88" s="39" t="s">
        <v>961</v>
      </c>
      <c r="B88" s="39" t="s">
        <v>5</v>
      </c>
      <c r="C88" s="42" t="s">
        <v>7</v>
      </c>
      <c r="D88" s="39" t="s">
        <v>993</v>
      </c>
      <c r="E88" s="39" t="s">
        <v>994</v>
      </c>
      <c r="F88" s="39" t="s">
        <v>864</v>
      </c>
      <c r="G88" s="39" t="s">
        <v>865</v>
      </c>
      <c r="H88" s="39" t="s">
        <v>12</v>
      </c>
      <c r="I88" s="39" t="s">
        <v>860</v>
      </c>
      <c r="K88" s="39" t="s">
        <v>10</v>
      </c>
      <c r="L88" s="42"/>
    </row>
    <row r="89" spans="1:20" s="39" customFormat="1">
      <c r="A89" s="39" t="s">
        <v>962</v>
      </c>
      <c r="B89" s="39" t="s">
        <v>5</v>
      </c>
      <c r="C89" s="42" t="s">
        <v>7</v>
      </c>
      <c r="D89" s="39" t="s">
        <v>995</v>
      </c>
      <c r="E89" s="39" t="s">
        <v>391</v>
      </c>
      <c r="F89" s="39" t="s">
        <v>864</v>
      </c>
      <c r="G89" s="39" t="s">
        <v>865</v>
      </c>
      <c r="H89" s="39" t="s">
        <v>12</v>
      </c>
      <c r="I89" s="39" t="s">
        <v>860</v>
      </c>
      <c r="K89" s="39" t="s">
        <v>10</v>
      </c>
      <c r="L89" s="42"/>
    </row>
    <row r="90" spans="1:20" s="39" customFormat="1">
      <c r="A90" s="39" t="s">
        <v>963</v>
      </c>
      <c r="B90" s="39" t="s">
        <v>5</v>
      </c>
      <c r="C90" s="42" t="s">
        <v>7</v>
      </c>
      <c r="D90" s="39" t="s">
        <v>996</v>
      </c>
      <c r="E90" s="39" t="s">
        <v>391</v>
      </c>
      <c r="F90" s="39" t="s">
        <v>970</v>
      </c>
      <c r="G90" s="39" t="s">
        <v>971</v>
      </c>
      <c r="H90" s="39" t="s">
        <v>12</v>
      </c>
      <c r="I90" s="39" t="s">
        <v>860</v>
      </c>
      <c r="K90" s="39" t="s">
        <v>10</v>
      </c>
      <c r="L90" s="42"/>
    </row>
    <row r="91" spans="1:20" s="39" customFormat="1">
      <c r="A91" s="39" t="s">
        <v>964</v>
      </c>
      <c r="B91" s="39" t="s">
        <v>5</v>
      </c>
      <c r="C91" s="42" t="s">
        <v>7</v>
      </c>
      <c r="D91" s="39" t="s">
        <v>997</v>
      </c>
      <c r="E91" s="39" t="s">
        <v>998</v>
      </c>
      <c r="F91" s="39" t="s">
        <v>970</v>
      </c>
      <c r="G91" s="39" t="s">
        <v>971</v>
      </c>
      <c r="H91" s="39" t="s">
        <v>12</v>
      </c>
      <c r="I91" s="39" t="s">
        <v>860</v>
      </c>
      <c r="K91" s="39" t="s">
        <v>10</v>
      </c>
      <c r="L91" s="42"/>
    </row>
    <row r="92" spans="1:20" s="60" customFormat="1">
      <c r="A92" s="60" t="s">
        <v>801</v>
      </c>
      <c r="B92" s="60" t="s">
        <v>55</v>
      </c>
      <c r="C92" s="61" t="s">
        <v>7</v>
      </c>
      <c r="D92" s="60" t="s">
        <v>204</v>
      </c>
      <c r="E92" s="60" t="s">
        <v>93</v>
      </c>
      <c r="F92" s="60" t="s">
        <v>204</v>
      </c>
      <c r="G92" s="60" t="s">
        <v>63</v>
      </c>
      <c r="H92" s="60" t="s">
        <v>60</v>
      </c>
      <c r="I92" s="60" t="s">
        <v>68</v>
      </c>
      <c r="L92" s="61" t="s">
        <v>42</v>
      </c>
      <c r="M92" s="60" t="s">
        <v>61</v>
      </c>
      <c r="N92" s="60" t="s">
        <v>62</v>
      </c>
      <c r="Q92" s="60" t="s">
        <v>9</v>
      </c>
      <c r="R92" s="60" t="s">
        <v>67</v>
      </c>
      <c r="T92" s="60" t="s">
        <v>10</v>
      </c>
    </row>
    <row r="93" spans="1:20" s="60" customFormat="1">
      <c r="A93" s="60" t="s">
        <v>812</v>
      </c>
      <c r="B93" s="60" t="s">
        <v>55</v>
      </c>
      <c r="C93" s="61" t="s">
        <v>7</v>
      </c>
      <c r="D93" s="60" t="s">
        <v>204</v>
      </c>
      <c r="E93" s="60" t="s">
        <v>93</v>
      </c>
      <c r="F93" s="60" t="s">
        <v>204</v>
      </c>
      <c r="G93" s="60" t="s">
        <v>63</v>
      </c>
      <c r="H93" s="60" t="s">
        <v>60</v>
      </c>
      <c r="I93" s="60" t="s">
        <v>68</v>
      </c>
      <c r="L93" s="61" t="s">
        <v>42</v>
      </c>
      <c r="M93" s="60" t="s">
        <v>61</v>
      </c>
      <c r="N93" s="60" t="s">
        <v>62</v>
      </c>
      <c r="Q93" s="60" t="s">
        <v>9</v>
      </c>
      <c r="R93" s="60" t="s">
        <v>67</v>
      </c>
      <c r="T93" s="60" t="s">
        <v>10</v>
      </c>
    </row>
    <row r="94" spans="1:20" s="60" customFormat="1">
      <c r="A94" s="60" t="s">
        <v>813</v>
      </c>
      <c r="B94" s="60" t="s">
        <v>55</v>
      </c>
      <c r="C94" s="61" t="s">
        <v>7</v>
      </c>
      <c r="D94" s="60" t="s">
        <v>96</v>
      </c>
      <c r="E94" s="60" t="s">
        <v>97</v>
      </c>
      <c r="F94" s="60" t="s">
        <v>58</v>
      </c>
      <c r="G94" s="60" t="s">
        <v>59</v>
      </c>
      <c r="H94" s="60" t="s">
        <v>60</v>
      </c>
      <c r="I94" s="60" t="s">
        <v>68</v>
      </c>
      <c r="L94" s="61" t="s">
        <v>42</v>
      </c>
      <c r="M94" s="60" t="s">
        <v>61</v>
      </c>
      <c r="N94" s="60" t="s">
        <v>62</v>
      </c>
      <c r="Q94" s="60" t="s">
        <v>9</v>
      </c>
      <c r="R94" s="60" t="s">
        <v>67</v>
      </c>
      <c r="T94" s="60" t="s">
        <v>10</v>
      </c>
    </row>
    <row r="95" spans="1:20" s="60" customFormat="1">
      <c r="A95" s="60" t="s">
        <v>814</v>
      </c>
      <c r="B95" s="60" t="s">
        <v>55</v>
      </c>
      <c r="C95" s="61" t="s">
        <v>7</v>
      </c>
      <c r="D95" s="60" t="s">
        <v>94</v>
      </c>
      <c r="E95" s="60" t="s">
        <v>95</v>
      </c>
      <c r="F95" s="60" t="s">
        <v>204</v>
      </c>
      <c r="G95" s="60" t="s">
        <v>63</v>
      </c>
      <c r="H95" s="60" t="s">
        <v>60</v>
      </c>
      <c r="I95" s="60" t="s">
        <v>68</v>
      </c>
      <c r="L95" s="61" t="s">
        <v>42</v>
      </c>
      <c r="M95" s="60" t="s">
        <v>61</v>
      </c>
      <c r="N95" s="60" t="s">
        <v>62</v>
      </c>
      <c r="Q95" s="60" t="s">
        <v>9</v>
      </c>
      <c r="R95" s="60" t="s">
        <v>67</v>
      </c>
      <c r="T95" s="60" t="s">
        <v>10</v>
      </c>
    </row>
    <row r="96" spans="1:20" s="60" customFormat="1">
      <c r="A96" s="60" t="s">
        <v>815</v>
      </c>
      <c r="B96" s="60" t="s">
        <v>55</v>
      </c>
      <c r="C96" s="61" t="s">
        <v>7</v>
      </c>
      <c r="D96" s="60" t="s">
        <v>422</v>
      </c>
      <c r="E96" s="60" t="s">
        <v>421</v>
      </c>
      <c r="F96" s="60" t="s">
        <v>204</v>
      </c>
      <c r="G96" s="60" t="s">
        <v>63</v>
      </c>
      <c r="H96" s="60" t="s">
        <v>60</v>
      </c>
      <c r="I96" s="60" t="s">
        <v>68</v>
      </c>
      <c r="L96" s="61" t="s">
        <v>42</v>
      </c>
      <c r="M96" s="60" t="s">
        <v>61</v>
      </c>
      <c r="N96" s="60" t="s">
        <v>62</v>
      </c>
      <c r="Q96" s="60" t="s">
        <v>9</v>
      </c>
      <c r="R96" s="60" t="s">
        <v>67</v>
      </c>
      <c r="T96" s="60" t="s">
        <v>10</v>
      </c>
    </row>
    <row r="97" spans="1:20" s="60" customFormat="1">
      <c r="A97" s="60" t="s">
        <v>816</v>
      </c>
      <c r="B97" s="60" t="s">
        <v>55</v>
      </c>
      <c r="C97" s="61" t="s">
        <v>7</v>
      </c>
      <c r="D97" s="60" t="s">
        <v>494</v>
      </c>
      <c r="E97" s="60" t="s">
        <v>495</v>
      </c>
      <c r="F97" s="60" t="s">
        <v>204</v>
      </c>
      <c r="G97" s="60" t="s">
        <v>63</v>
      </c>
      <c r="H97" s="60" t="s">
        <v>60</v>
      </c>
      <c r="I97" s="60" t="s">
        <v>68</v>
      </c>
      <c r="L97" s="61" t="s">
        <v>42</v>
      </c>
      <c r="M97" s="60" t="s">
        <v>61</v>
      </c>
      <c r="N97" s="60" t="s">
        <v>62</v>
      </c>
      <c r="Q97" s="60" t="s">
        <v>9</v>
      </c>
      <c r="R97" s="60" t="s">
        <v>67</v>
      </c>
      <c r="T97" s="60" t="s">
        <v>10</v>
      </c>
    </row>
    <row r="98" spans="1:20" s="60" customFormat="1">
      <c r="A98" s="60" t="s">
        <v>817</v>
      </c>
      <c r="B98" s="60" t="s">
        <v>55</v>
      </c>
      <c r="C98" s="61" t="s">
        <v>7</v>
      </c>
      <c r="D98" s="60" t="s">
        <v>490</v>
      </c>
      <c r="E98" s="60" t="s">
        <v>491</v>
      </c>
      <c r="F98" s="60" t="s">
        <v>204</v>
      </c>
      <c r="G98" s="60" t="s">
        <v>63</v>
      </c>
      <c r="H98" s="60" t="s">
        <v>60</v>
      </c>
      <c r="I98" s="60" t="s">
        <v>68</v>
      </c>
      <c r="L98" s="61" t="s">
        <v>42</v>
      </c>
      <c r="M98" s="60" t="s">
        <v>61</v>
      </c>
      <c r="N98" s="60" t="s">
        <v>62</v>
      </c>
      <c r="Q98" s="60" t="s">
        <v>9</v>
      </c>
      <c r="R98" s="60" t="s">
        <v>67</v>
      </c>
      <c r="T98" s="60" t="s">
        <v>10</v>
      </c>
    </row>
    <row r="99" spans="1:20" s="60" customFormat="1">
      <c r="A99" s="60" t="s">
        <v>818</v>
      </c>
      <c r="B99" s="60" t="s">
        <v>55</v>
      </c>
      <c r="C99" s="61" t="s">
        <v>7</v>
      </c>
      <c r="D99" s="60" t="s">
        <v>492</v>
      </c>
      <c r="E99" s="60" t="s">
        <v>493</v>
      </c>
      <c r="F99" s="60" t="s">
        <v>58</v>
      </c>
      <c r="G99" s="60" t="s">
        <v>59</v>
      </c>
      <c r="H99" s="60" t="s">
        <v>60</v>
      </c>
      <c r="I99" s="60" t="s">
        <v>68</v>
      </c>
      <c r="L99" s="61" t="s">
        <v>42</v>
      </c>
      <c r="M99" s="60" t="s">
        <v>61</v>
      </c>
      <c r="N99" s="60" t="s">
        <v>62</v>
      </c>
      <c r="Q99" s="60" t="s">
        <v>9</v>
      </c>
      <c r="R99" s="60" t="s">
        <v>67</v>
      </c>
      <c r="T99" s="60" t="s">
        <v>10</v>
      </c>
    </row>
    <row r="100" spans="1:20" s="60" customFormat="1">
      <c r="A100" s="60" t="s">
        <v>819</v>
      </c>
      <c r="B100" s="60" t="s">
        <v>55</v>
      </c>
      <c r="C100" s="61" t="s">
        <v>28</v>
      </c>
      <c r="D100" s="60" t="s">
        <v>46</v>
      </c>
      <c r="E100" s="60" t="s">
        <v>47</v>
      </c>
      <c r="F100" s="60" t="s">
        <v>58</v>
      </c>
      <c r="G100" s="60" t="s">
        <v>59</v>
      </c>
      <c r="H100" s="60" t="s">
        <v>60</v>
      </c>
      <c r="I100" s="60" t="s">
        <v>65</v>
      </c>
      <c r="L100" s="61" t="s">
        <v>42</v>
      </c>
      <c r="M100" s="60" t="s">
        <v>659</v>
      </c>
      <c r="N100" s="60" t="s">
        <v>457</v>
      </c>
      <c r="O100" s="60" t="s">
        <v>660</v>
      </c>
      <c r="P100" s="60" t="s">
        <v>264</v>
      </c>
      <c r="Q100" s="60" t="s">
        <v>60</v>
      </c>
      <c r="R100" s="60" t="s">
        <v>66</v>
      </c>
      <c r="T100" s="60" t="s">
        <v>10</v>
      </c>
    </row>
    <row r="101" spans="1:20" s="60" customFormat="1">
      <c r="A101" s="60" t="s">
        <v>820</v>
      </c>
      <c r="B101" s="60" t="s">
        <v>55</v>
      </c>
      <c r="C101" s="61" t="s">
        <v>28</v>
      </c>
      <c r="D101" s="60" t="s">
        <v>46</v>
      </c>
      <c r="E101" s="60" t="s">
        <v>47</v>
      </c>
      <c r="F101" s="60" t="s">
        <v>58</v>
      </c>
      <c r="G101" s="60" t="s">
        <v>59</v>
      </c>
      <c r="H101" s="60" t="s">
        <v>60</v>
      </c>
      <c r="I101" s="60" t="s">
        <v>65</v>
      </c>
      <c r="L101" s="61" t="s">
        <v>42</v>
      </c>
      <c r="M101" s="60" t="s">
        <v>61</v>
      </c>
      <c r="N101" s="60" t="s">
        <v>62</v>
      </c>
      <c r="Q101" s="60" t="s">
        <v>9</v>
      </c>
      <c r="R101" s="60" t="s">
        <v>66</v>
      </c>
      <c r="T101" s="60" t="s">
        <v>10</v>
      </c>
    </row>
    <row r="102" spans="1:20" s="39" customFormat="1">
      <c r="A102" s="39" t="s">
        <v>802</v>
      </c>
      <c r="B102" s="39" t="s">
        <v>55</v>
      </c>
      <c r="C102" s="42" t="s">
        <v>29</v>
      </c>
      <c r="D102" s="39" t="s">
        <v>656</v>
      </c>
      <c r="E102" s="39" t="s">
        <v>92</v>
      </c>
      <c r="F102" s="39" t="s">
        <v>499</v>
      </c>
      <c r="G102" s="39" t="s">
        <v>264</v>
      </c>
      <c r="H102" s="39" t="s">
        <v>652</v>
      </c>
      <c r="I102" s="39" t="s">
        <v>30</v>
      </c>
      <c r="L102" s="42" t="s">
        <v>28</v>
      </c>
      <c r="M102" s="39" t="s">
        <v>48</v>
      </c>
      <c r="N102" s="39" t="s">
        <v>47</v>
      </c>
      <c r="Q102" s="39" t="s">
        <v>9</v>
      </c>
      <c r="T102" s="39" t="s">
        <v>10</v>
      </c>
    </row>
    <row r="103" spans="1:20" s="39" customFormat="1">
      <c r="A103" s="39" t="s">
        <v>803</v>
      </c>
      <c r="B103" s="39" t="s">
        <v>55</v>
      </c>
      <c r="C103" s="42" t="s">
        <v>7</v>
      </c>
      <c r="D103" s="39" t="s">
        <v>658</v>
      </c>
      <c r="E103" s="39" t="s">
        <v>432</v>
      </c>
      <c r="F103" s="39" t="s">
        <v>499</v>
      </c>
      <c r="G103" s="39" t="s">
        <v>264</v>
      </c>
      <c r="H103" s="39" t="s">
        <v>652</v>
      </c>
      <c r="I103" s="39" t="s">
        <v>25</v>
      </c>
      <c r="L103" s="42" t="s">
        <v>28</v>
      </c>
      <c r="M103" s="39" t="s">
        <v>48</v>
      </c>
      <c r="N103" s="39" t="s">
        <v>47</v>
      </c>
      <c r="Q103" s="39" t="s">
        <v>9</v>
      </c>
      <c r="T103" s="39" t="s">
        <v>10</v>
      </c>
    </row>
    <row r="104" spans="1:20" s="39" customFormat="1">
      <c r="A104" s="39" t="s">
        <v>804</v>
      </c>
      <c r="B104" s="39" t="s">
        <v>55</v>
      </c>
      <c r="C104" s="42" t="s">
        <v>7</v>
      </c>
      <c r="D104" s="39" t="s">
        <v>650</v>
      </c>
      <c r="E104" s="39" t="s">
        <v>651</v>
      </c>
      <c r="F104" s="39" t="s">
        <v>499</v>
      </c>
      <c r="G104" s="39" t="s">
        <v>264</v>
      </c>
      <c r="H104" s="39" t="s">
        <v>652</v>
      </c>
      <c r="I104" s="39" t="s">
        <v>25</v>
      </c>
      <c r="L104" s="42" t="s">
        <v>28</v>
      </c>
      <c r="M104" s="39" t="s">
        <v>48</v>
      </c>
      <c r="N104" s="39" t="s">
        <v>47</v>
      </c>
      <c r="Q104" s="39" t="s">
        <v>9</v>
      </c>
      <c r="T104" s="39" t="s">
        <v>10</v>
      </c>
    </row>
    <row r="105" spans="1:20" s="39" customFormat="1">
      <c r="A105" s="39" t="s">
        <v>805</v>
      </c>
      <c r="B105" s="39" t="s">
        <v>55</v>
      </c>
      <c r="C105" s="42" t="s">
        <v>7</v>
      </c>
      <c r="D105" s="39" t="s">
        <v>647</v>
      </c>
      <c r="E105" s="39" t="s">
        <v>391</v>
      </c>
      <c r="F105" s="39" t="s">
        <v>499</v>
      </c>
      <c r="G105" s="39" t="s">
        <v>264</v>
      </c>
      <c r="H105" s="39" t="s">
        <v>652</v>
      </c>
      <c r="I105" s="39" t="s">
        <v>25</v>
      </c>
      <c r="L105" s="42" t="s">
        <v>28</v>
      </c>
      <c r="M105" s="39" t="s">
        <v>48</v>
      </c>
      <c r="N105" s="39" t="s">
        <v>47</v>
      </c>
      <c r="Q105" s="39" t="s">
        <v>9</v>
      </c>
      <c r="T105" s="39" t="s">
        <v>10</v>
      </c>
    </row>
    <row r="106" spans="1:20" s="39" customFormat="1">
      <c r="A106" s="39" t="s">
        <v>806</v>
      </c>
      <c r="B106" s="39" t="s">
        <v>55</v>
      </c>
      <c r="C106" s="42" t="s">
        <v>7</v>
      </c>
      <c r="D106" s="39" t="s">
        <v>648</v>
      </c>
      <c r="E106" s="39" t="s">
        <v>649</v>
      </c>
      <c r="F106" s="39" t="s">
        <v>499</v>
      </c>
      <c r="G106" s="39" t="s">
        <v>264</v>
      </c>
      <c r="H106" s="39" t="s">
        <v>60</v>
      </c>
      <c r="I106" s="39" t="s">
        <v>25</v>
      </c>
      <c r="L106" s="42" t="s">
        <v>28</v>
      </c>
      <c r="M106" s="39" t="s">
        <v>48</v>
      </c>
      <c r="N106" s="39" t="s">
        <v>47</v>
      </c>
      <c r="Q106" s="39" t="s">
        <v>9</v>
      </c>
      <c r="T106" s="39" t="s">
        <v>10</v>
      </c>
    </row>
    <row r="107" spans="1:20" s="39" customFormat="1">
      <c r="A107" s="39" t="s">
        <v>807</v>
      </c>
      <c r="B107" s="39" t="s">
        <v>55</v>
      </c>
      <c r="C107" s="42" t="s">
        <v>7</v>
      </c>
      <c r="D107" s="39" t="s">
        <v>17</v>
      </c>
      <c r="E107" s="39" t="s">
        <v>113</v>
      </c>
      <c r="F107" s="39" t="s">
        <v>499</v>
      </c>
      <c r="G107" s="39" t="s">
        <v>264</v>
      </c>
      <c r="H107" s="39" t="s">
        <v>60</v>
      </c>
      <c r="I107" s="39" t="s">
        <v>25</v>
      </c>
      <c r="L107" s="42" t="s">
        <v>28</v>
      </c>
      <c r="M107" s="39" t="s">
        <v>48</v>
      </c>
      <c r="N107" s="39" t="s">
        <v>47</v>
      </c>
      <c r="Q107" s="39" t="s">
        <v>9</v>
      </c>
      <c r="T107" s="39" t="s">
        <v>10</v>
      </c>
    </row>
    <row r="108" spans="1:20" s="39" customFormat="1">
      <c r="A108" s="39" t="s">
        <v>808</v>
      </c>
      <c r="B108" s="39" t="s">
        <v>55</v>
      </c>
      <c r="C108" s="42" t="s">
        <v>7</v>
      </c>
      <c r="D108" s="39" t="s">
        <v>643</v>
      </c>
      <c r="E108" s="39" t="s">
        <v>644</v>
      </c>
      <c r="F108" s="39" t="s">
        <v>499</v>
      </c>
      <c r="G108" s="39" t="s">
        <v>264</v>
      </c>
      <c r="H108" s="39" t="s">
        <v>60</v>
      </c>
      <c r="I108" s="39" t="s">
        <v>25</v>
      </c>
      <c r="L108" s="42" t="s">
        <v>28</v>
      </c>
      <c r="M108" s="39" t="s">
        <v>48</v>
      </c>
      <c r="N108" s="39" t="s">
        <v>47</v>
      </c>
      <c r="Q108" s="39" t="s">
        <v>9</v>
      </c>
      <c r="T108" s="39" t="s">
        <v>10</v>
      </c>
    </row>
    <row r="109" spans="1:20" s="39" customFormat="1">
      <c r="A109" s="39" t="s">
        <v>809</v>
      </c>
      <c r="B109" s="39" t="s">
        <v>55</v>
      </c>
      <c r="C109" s="42" t="s">
        <v>7</v>
      </c>
      <c r="D109" s="39" t="s">
        <v>492</v>
      </c>
      <c r="E109" s="39" t="s">
        <v>653</v>
      </c>
      <c r="F109" s="39" t="s">
        <v>499</v>
      </c>
      <c r="G109" s="39" t="s">
        <v>264</v>
      </c>
      <c r="H109" s="39" t="s">
        <v>60</v>
      </c>
      <c r="I109" s="39" t="s">
        <v>25</v>
      </c>
      <c r="L109" s="42" t="s">
        <v>28</v>
      </c>
      <c r="M109" s="39" t="s">
        <v>48</v>
      </c>
      <c r="N109" s="39" t="s">
        <v>47</v>
      </c>
      <c r="Q109" s="39" t="s">
        <v>9</v>
      </c>
      <c r="T109" s="39" t="s">
        <v>10</v>
      </c>
    </row>
    <row r="110" spans="1:20" s="39" customFormat="1">
      <c r="A110" s="39" t="s">
        <v>810</v>
      </c>
      <c r="B110" s="39" t="s">
        <v>55</v>
      </c>
      <c r="C110" s="42" t="s">
        <v>7</v>
      </c>
      <c r="D110" s="39" t="s">
        <v>94</v>
      </c>
      <c r="E110" s="39" t="s">
        <v>654</v>
      </c>
      <c r="F110" s="39" t="s">
        <v>499</v>
      </c>
      <c r="G110" s="39" t="s">
        <v>264</v>
      </c>
      <c r="H110" s="39" t="s">
        <v>60</v>
      </c>
      <c r="I110" s="39" t="s">
        <v>25</v>
      </c>
      <c r="L110" s="42" t="s">
        <v>28</v>
      </c>
      <c r="M110" s="39" t="s">
        <v>48</v>
      </c>
      <c r="N110" s="39" t="s">
        <v>47</v>
      </c>
      <c r="Q110" s="39" t="s">
        <v>9</v>
      </c>
      <c r="T110" s="39" t="s">
        <v>10</v>
      </c>
    </row>
    <row r="111" spans="1:20" s="39" customFormat="1">
      <c r="A111" s="39" t="s">
        <v>811</v>
      </c>
      <c r="B111" s="39" t="s">
        <v>55</v>
      </c>
      <c r="C111" s="42" t="s">
        <v>7</v>
      </c>
      <c r="D111" s="39" t="s">
        <v>655</v>
      </c>
      <c r="E111" s="39" t="s">
        <v>95</v>
      </c>
      <c r="F111" s="39" t="s">
        <v>499</v>
      </c>
      <c r="G111" s="39" t="s">
        <v>264</v>
      </c>
      <c r="H111" s="39" t="s">
        <v>60</v>
      </c>
      <c r="I111" s="39" t="s">
        <v>25</v>
      </c>
      <c r="L111" s="42" t="s">
        <v>28</v>
      </c>
      <c r="M111" s="39" t="s">
        <v>48</v>
      </c>
      <c r="N111" s="39" t="s">
        <v>47</v>
      </c>
      <c r="Q111" s="39" t="s">
        <v>9</v>
      </c>
      <c r="T111" s="39" t="s">
        <v>10</v>
      </c>
    </row>
    <row r="112" spans="1:20" s="60" customFormat="1">
      <c r="A112" s="60" t="s">
        <v>252</v>
      </c>
      <c r="B112" s="60" t="s">
        <v>44</v>
      </c>
      <c r="C112" s="61" t="s">
        <v>7</v>
      </c>
      <c r="D112" s="60" t="s">
        <v>370</v>
      </c>
      <c r="E112" s="60" t="s">
        <v>119</v>
      </c>
      <c r="F112" s="60" t="s">
        <v>46</v>
      </c>
      <c r="G112" s="60" t="s">
        <v>47</v>
      </c>
      <c r="H112" s="60" t="s">
        <v>262</v>
      </c>
      <c r="I112" s="60" t="s">
        <v>25</v>
      </c>
      <c r="L112" s="61" t="s">
        <v>28</v>
      </c>
      <c r="M112" s="60" t="s">
        <v>48</v>
      </c>
      <c r="N112" s="60" t="s">
        <v>47</v>
      </c>
      <c r="Q112" s="60" t="s">
        <v>9</v>
      </c>
      <c r="R112" s="60" t="s">
        <v>27</v>
      </c>
      <c r="T112" s="60" t="s">
        <v>10</v>
      </c>
    </row>
    <row r="113" spans="1:20" s="60" customFormat="1">
      <c r="A113" s="60" t="s">
        <v>253</v>
      </c>
      <c r="B113" s="60" t="s">
        <v>44</v>
      </c>
      <c r="C113" s="61" t="s">
        <v>7</v>
      </c>
      <c r="D113" s="60" t="s">
        <v>371</v>
      </c>
      <c r="E113" s="60" t="s">
        <v>372</v>
      </c>
      <c r="F113" s="60" t="s">
        <v>46</v>
      </c>
      <c r="G113" s="60" t="s">
        <v>47</v>
      </c>
      <c r="H113" s="60" t="s">
        <v>262</v>
      </c>
      <c r="I113" s="60" t="s">
        <v>25</v>
      </c>
      <c r="L113" s="61" t="s">
        <v>28</v>
      </c>
      <c r="M113" s="60" t="s">
        <v>48</v>
      </c>
      <c r="N113" s="60" t="s">
        <v>47</v>
      </c>
      <c r="Q113" s="60" t="s">
        <v>9</v>
      </c>
      <c r="R113" s="60" t="s">
        <v>27</v>
      </c>
      <c r="T113" s="60" t="s">
        <v>10</v>
      </c>
    </row>
    <row r="114" spans="1:20" s="60" customFormat="1">
      <c r="A114" s="60" t="s">
        <v>254</v>
      </c>
      <c r="B114" s="60" t="s">
        <v>44</v>
      </c>
      <c r="C114" s="61" t="s">
        <v>7</v>
      </c>
      <c r="D114" s="60" t="s">
        <v>390</v>
      </c>
      <c r="E114" s="60" t="s">
        <v>391</v>
      </c>
      <c r="F114" s="60" t="s">
        <v>46</v>
      </c>
      <c r="G114" s="60" t="s">
        <v>47</v>
      </c>
      <c r="H114" s="60" t="s">
        <v>262</v>
      </c>
      <c r="I114" s="60" t="s">
        <v>25</v>
      </c>
      <c r="L114" s="61" t="s">
        <v>28</v>
      </c>
      <c r="M114" s="60" t="s">
        <v>48</v>
      </c>
      <c r="N114" s="60" t="s">
        <v>47</v>
      </c>
      <c r="Q114" s="60" t="s">
        <v>9</v>
      </c>
      <c r="R114" s="60" t="s">
        <v>27</v>
      </c>
      <c r="T114" s="60" t="s">
        <v>10</v>
      </c>
    </row>
    <row r="115" spans="1:20" s="60" customFormat="1">
      <c r="A115" s="60" t="s">
        <v>255</v>
      </c>
      <c r="B115" s="60" t="s">
        <v>44</v>
      </c>
      <c r="C115" s="61" t="s">
        <v>7</v>
      </c>
      <c r="D115" s="60" t="s">
        <v>420</v>
      </c>
      <c r="E115" s="60" t="s">
        <v>421</v>
      </c>
      <c r="F115" s="60" t="s">
        <v>46</v>
      </c>
      <c r="G115" s="60" t="s">
        <v>47</v>
      </c>
      <c r="H115" s="60" t="s">
        <v>262</v>
      </c>
      <c r="I115" s="60" t="s">
        <v>25</v>
      </c>
      <c r="L115" s="61" t="s">
        <v>28</v>
      </c>
      <c r="M115" s="60" t="s">
        <v>48</v>
      </c>
      <c r="N115" s="60" t="s">
        <v>47</v>
      </c>
      <c r="Q115" s="60" t="s">
        <v>9</v>
      </c>
      <c r="R115" s="60" t="s">
        <v>27</v>
      </c>
      <c r="T115" s="60" t="s">
        <v>10</v>
      </c>
    </row>
    <row r="116" spans="1:20" s="60" customFormat="1">
      <c r="A116" s="60" t="s">
        <v>256</v>
      </c>
      <c r="B116" s="60" t="s">
        <v>44</v>
      </c>
      <c r="C116" s="61" t="s">
        <v>7</v>
      </c>
      <c r="D116" s="60" t="s">
        <v>429</v>
      </c>
      <c r="E116" s="60" t="s">
        <v>430</v>
      </c>
      <c r="F116" s="60" t="s">
        <v>46</v>
      </c>
      <c r="G116" s="60" t="s">
        <v>47</v>
      </c>
      <c r="H116" s="60" t="s">
        <v>262</v>
      </c>
      <c r="I116" s="60" t="s">
        <v>25</v>
      </c>
      <c r="L116" s="61" t="s">
        <v>28</v>
      </c>
      <c r="M116" s="60" t="s">
        <v>48</v>
      </c>
      <c r="N116" s="60" t="s">
        <v>47</v>
      </c>
      <c r="Q116" s="60" t="s">
        <v>9</v>
      </c>
      <c r="R116" s="60" t="s">
        <v>27</v>
      </c>
      <c r="T116" s="60" t="s">
        <v>10</v>
      </c>
    </row>
    <row r="117" spans="1:20" s="60" customFormat="1">
      <c r="A117" s="60" t="s">
        <v>257</v>
      </c>
      <c r="B117" s="60" t="s">
        <v>44</v>
      </c>
      <c r="C117" s="61" t="s">
        <v>7</v>
      </c>
      <c r="D117" s="60" t="s">
        <v>388</v>
      </c>
      <c r="E117" s="60" t="s">
        <v>389</v>
      </c>
      <c r="F117" s="60" t="s">
        <v>46</v>
      </c>
      <c r="G117" s="60" t="s">
        <v>47</v>
      </c>
      <c r="H117" s="60" t="s">
        <v>262</v>
      </c>
      <c r="I117" s="60" t="s">
        <v>25</v>
      </c>
      <c r="L117" s="61" t="s">
        <v>28</v>
      </c>
      <c r="M117" s="60" t="s">
        <v>48</v>
      </c>
      <c r="N117" s="60" t="s">
        <v>47</v>
      </c>
      <c r="Q117" s="60" t="s">
        <v>9</v>
      </c>
      <c r="R117" s="60" t="s">
        <v>27</v>
      </c>
      <c r="T117" s="60" t="s">
        <v>10</v>
      </c>
    </row>
    <row r="118" spans="1:20" s="60" customFormat="1">
      <c r="A118" s="60" t="s">
        <v>258</v>
      </c>
      <c r="B118" s="60" t="s">
        <v>44</v>
      </c>
      <c r="C118" s="61" t="s">
        <v>7</v>
      </c>
      <c r="D118" s="60" t="s">
        <v>427</v>
      </c>
      <c r="E118" s="60" t="s">
        <v>428</v>
      </c>
      <c r="F118" s="60" t="s">
        <v>46</v>
      </c>
      <c r="G118" s="60" t="s">
        <v>47</v>
      </c>
      <c r="H118" s="60" t="s">
        <v>262</v>
      </c>
      <c r="I118" s="60" t="s">
        <v>25</v>
      </c>
      <c r="L118" s="61" t="s">
        <v>28</v>
      </c>
      <c r="M118" s="60" t="s">
        <v>48</v>
      </c>
      <c r="N118" s="60" t="s">
        <v>47</v>
      </c>
      <c r="Q118" s="60" t="s">
        <v>9</v>
      </c>
      <c r="R118" s="60" t="s">
        <v>27</v>
      </c>
      <c r="T118" s="60" t="s">
        <v>10</v>
      </c>
    </row>
    <row r="119" spans="1:20" s="60" customFormat="1">
      <c r="A119" s="60" t="s">
        <v>259</v>
      </c>
      <c r="B119" s="60" t="s">
        <v>44</v>
      </c>
      <c r="C119" s="61" t="s">
        <v>7</v>
      </c>
      <c r="D119" s="60" t="s">
        <v>422</v>
      </c>
      <c r="E119" s="60" t="s">
        <v>423</v>
      </c>
      <c r="F119" s="60" t="s">
        <v>46</v>
      </c>
      <c r="G119" s="60" t="s">
        <v>47</v>
      </c>
      <c r="H119" s="60" t="s">
        <v>262</v>
      </c>
      <c r="I119" s="60" t="s">
        <v>25</v>
      </c>
      <c r="L119" s="61" t="s">
        <v>28</v>
      </c>
      <c r="M119" s="60" t="s">
        <v>48</v>
      </c>
      <c r="N119" s="60" t="s">
        <v>47</v>
      </c>
      <c r="Q119" s="60" t="s">
        <v>9</v>
      </c>
      <c r="R119" s="60" t="s">
        <v>27</v>
      </c>
      <c r="T119" s="60" t="s">
        <v>10</v>
      </c>
    </row>
    <row r="120" spans="1:20" s="60" customFormat="1">
      <c r="A120" s="60" t="s">
        <v>260</v>
      </c>
      <c r="B120" s="60" t="s">
        <v>44</v>
      </c>
      <c r="C120" s="61" t="s">
        <v>29</v>
      </c>
      <c r="D120" s="60" t="s">
        <v>645</v>
      </c>
      <c r="E120" s="60" t="s">
        <v>646</v>
      </c>
      <c r="F120" s="60" t="s">
        <v>46</v>
      </c>
      <c r="G120" s="60" t="s">
        <v>47</v>
      </c>
      <c r="H120" s="60" t="s">
        <v>262</v>
      </c>
      <c r="I120" s="60" t="s">
        <v>30</v>
      </c>
      <c r="L120" s="61" t="s">
        <v>28</v>
      </c>
      <c r="M120" s="60" t="s">
        <v>48</v>
      </c>
      <c r="N120" s="60" t="s">
        <v>47</v>
      </c>
      <c r="Q120" s="60" t="s">
        <v>9</v>
      </c>
      <c r="R120" s="60" t="s">
        <v>31</v>
      </c>
      <c r="T120" s="60" t="s">
        <v>10</v>
      </c>
    </row>
    <row r="121" spans="1:20" s="60" customFormat="1">
      <c r="A121" s="60" t="s">
        <v>261</v>
      </c>
      <c r="B121" s="60" t="s">
        <v>44</v>
      </c>
      <c r="C121" s="61" t="s">
        <v>29</v>
      </c>
      <c r="D121" s="60" t="s">
        <v>433</v>
      </c>
      <c r="E121" s="60" t="s">
        <v>43</v>
      </c>
      <c r="F121" s="60" t="s">
        <v>46</v>
      </c>
      <c r="G121" s="60" t="s">
        <v>47</v>
      </c>
      <c r="H121" s="60" t="s">
        <v>262</v>
      </c>
      <c r="I121" s="60" t="s">
        <v>30</v>
      </c>
      <c r="L121" s="61" t="s">
        <v>28</v>
      </c>
      <c r="M121" s="60" t="s">
        <v>48</v>
      </c>
      <c r="N121" s="60" t="s">
        <v>47</v>
      </c>
      <c r="Q121" s="60" t="s">
        <v>9</v>
      </c>
      <c r="R121" s="60" t="s">
        <v>31</v>
      </c>
      <c r="T121" s="60" t="s">
        <v>10</v>
      </c>
    </row>
    <row r="122" spans="1:20" s="39" customFormat="1">
      <c r="A122" s="39" t="s">
        <v>392</v>
      </c>
      <c r="B122" s="39" t="s">
        <v>44</v>
      </c>
      <c r="C122" s="42" t="s">
        <v>7</v>
      </c>
      <c r="D122" s="39" t="s">
        <v>364</v>
      </c>
      <c r="E122" s="39" t="s">
        <v>365</v>
      </c>
      <c r="F122" s="39" t="s">
        <v>499</v>
      </c>
      <c r="G122" s="39" t="s">
        <v>263</v>
      </c>
      <c r="H122" s="39" t="s">
        <v>262</v>
      </c>
      <c r="I122" s="39" t="s">
        <v>25</v>
      </c>
      <c r="L122" s="42" t="s">
        <v>28</v>
      </c>
      <c r="M122" s="39" t="s">
        <v>45</v>
      </c>
      <c r="N122" s="39" t="s">
        <v>275</v>
      </c>
      <c r="Q122" s="39" t="s">
        <v>9</v>
      </c>
      <c r="R122" s="39" t="s">
        <v>27</v>
      </c>
      <c r="T122" s="39" t="s">
        <v>10</v>
      </c>
    </row>
    <row r="123" spans="1:20" s="39" customFormat="1">
      <c r="A123" s="39" t="s">
        <v>393</v>
      </c>
      <c r="B123" s="39" t="s">
        <v>44</v>
      </c>
      <c r="C123" s="42" t="s">
        <v>7</v>
      </c>
      <c r="D123" s="39" t="s">
        <v>366</v>
      </c>
      <c r="E123" s="39" t="s">
        <v>367</v>
      </c>
      <c r="F123" s="39" t="s">
        <v>499</v>
      </c>
      <c r="G123" s="39" t="s">
        <v>263</v>
      </c>
      <c r="H123" s="39" t="s">
        <v>262</v>
      </c>
      <c r="I123" s="39" t="s">
        <v>25</v>
      </c>
      <c r="L123" s="42" t="s">
        <v>28</v>
      </c>
      <c r="M123" s="39" t="s">
        <v>48</v>
      </c>
      <c r="N123" s="39" t="s">
        <v>47</v>
      </c>
      <c r="Q123" s="39" t="s">
        <v>9</v>
      </c>
      <c r="R123" s="39" t="s">
        <v>27</v>
      </c>
      <c r="T123" s="39" t="s">
        <v>10</v>
      </c>
    </row>
    <row r="124" spans="1:20" s="39" customFormat="1">
      <c r="A124" s="39" t="s">
        <v>394</v>
      </c>
      <c r="B124" s="39" t="s">
        <v>44</v>
      </c>
      <c r="C124" s="42" t="s">
        <v>7</v>
      </c>
      <c r="D124" s="39" t="s">
        <v>424</v>
      </c>
      <c r="E124" s="39" t="s">
        <v>423</v>
      </c>
      <c r="F124" s="39" t="s">
        <v>499</v>
      </c>
      <c r="G124" s="39" t="s">
        <v>263</v>
      </c>
      <c r="H124" s="39" t="s">
        <v>262</v>
      </c>
      <c r="I124" s="39" t="s">
        <v>25</v>
      </c>
      <c r="L124" s="42" t="s">
        <v>28</v>
      </c>
      <c r="M124" s="39" t="s">
        <v>48</v>
      </c>
      <c r="N124" s="39" t="s">
        <v>47</v>
      </c>
      <c r="Q124" s="39" t="s">
        <v>9</v>
      </c>
      <c r="R124" s="39" t="s">
        <v>27</v>
      </c>
      <c r="T124" s="39" t="s">
        <v>10</v>
      </c>
    </row>
    <row r="125" spans="1:20" s="39" customFormat="1">
      <c r="A125" s="39" t="s">
        <v>395</v>
      </c>
      <c r="B125" s="39" t="s">
        <v>44</v>
      </c>
      <c r="C125" s="42" t="s">
        <v>7</v>
      </c>
      <c r="D125" s="39" t="s">
        <v>431</v>
      </c>
      <c r="E125" s="39" t="s">
        <v>432</v>
      </c>
      <c r="F125" s="39" t="s">
        <v>499</v>
      </c>
      <c r="G125" s="39" t="s">
        <v>263</v>
      </c>
      <c r="H125" s="39" t="s">
        <v>262</v>
      </c>
      <c r="I125" s="39" t="s">
        <v>25</v>
      </c>
      <c r="L125" s="42" t="s">
        <v>28</v>
      </c>
      <c r="M125" s="39" t="s">
        <v>45</v>
      </c>
      <c r="N125" s="39" t="s">
        <v>275</v>
      </c>
      <c r="Q125" s="39" t="s">
        <v>9</v>
      </c>
      <c r="R125" s="39" t="s">
        <v>27</v>
      </c>
      <c r="T125" s="39" t="s">
        <v>10</v>
      </c>
    </row>
    <row r="126" spans="1:20" s="39" customFormat="1">
      <c r="A126" s="39" t="s">
        <v>396</v>
      </c>
      <c r="B126" s="39" t="s">
        <v>44</v>
      </c>
      <c r="C126" s="42" t="s">
        <v>7</v>
      </c>
      <c r="D126" s="39" t="s">
        <v>425</v>
      </c>
      <c r="E126" s="39" t="s">
        <v>426</v>
      </c>
      <c r="F126" s="39" t="s">
        <v>499</v>
      </c>
      <c r="G126" s="39" t="s">
        <v>263</v>
      </c>
      <c r="H126" s="39" t="s">
        <v>262</v>
      </c>
      <c r="I126" s="39" t="s">
        <v>25</v>
      </c>
      <c r="L126" s="42" t="s">
        <v>28</v>
      </c>
      <c r="M126" s="39" t="s">
        <v>45</v>
      </c>
      <c r="N126" s="39" t="s">
        <v>275</v>
      </c>
      <c r="Q126" s="39" t="s">
        <v>9</v>
      </c>
      <c r="R126" s="39" t="s">
        <v>27</v>
      </c>
      <c r="T126" s="39" t="s">
        <v>10</v>
      </c>
    </row>
    <row r="127" spans="1:20" s="39" customFormat="1">
      <c r="A127" s="39" t="s">
        <v>397</v>
      </c>
      <c r="B127" s="39" t="s">
        <v>44</v>
      </c>
      <c r="C127" s="42" t="s">
        <v>29</v>
      </c>
      <c r="D127" s="39" t="s">
        <v>657</v>
      </c>
      <c r="E127" s="39" t="s">
        <v>92</v>
      </c>
      <c r="F127" s="39" t="s">
        <v>499</v>
      </c>
      <c r="G127" s="39" t="s">
        <v>263</v>
      </c>
      <c r="H127" s="39" t="s">
        <v>262</v>
      </c>
      <c r="I127" s="39" t="s">
        <v>30</v>
      </c>
      <c r="L127" s="42" t="s">
        <v>28</v>
      </c>
      <c r="M127" s="39" t="s">
        <v>45</v>
      </c>
      <c r="N127" s="39" t="s">
        <v>275</v>
      </c>
      <c r="Q127" s="39" t="s">
        <v>9</v>
      </c>
      <c r="R127" s="39" t="s">
        <v>31</v>
      </c>
      <c r="T127" s="39" t="s">
        <v>10</v>
      </c>
    </row>
    <row r="128" spans="1:20" s="39" customFormat="1">
      <c r="A128" s="39" t="s">
        <v>398</v>
      </c>
      <c r="B128" s="39" t="s">
        <v>44</v>
      </c>
      <c r="C128" s="42" t="s">
        <v>29</v>
      </c>
      <c r="D128" s="39" t="s">
        <v>434</v>
      </c>
      <c r="E128" s="39" t="s">
        <v>43</v>
      </c>
      <c r="F128" s="39" t="s">
        <v>499</v>
      </c>
      <c r="G128" s="39" t="s">
        <v>263</v>
      </c>
      <c r="H128" s="39" t="s">
        <v>262</v>
      </c>
      <c r="I128" s="39" t="s">
        <v>30</v>
      </c>
      <c r="L128" s="42" t="s">
        <v>28</v>
      </c>
      <c r="M128" s="39" t="s">
        <v>48</v>
      </c>
      <c r="N128" s="39" t="s">
        <v>47</v>
      </c>
      <c r="Q128" s="39" t="s">
        <v>9</v>
      </c>
      <c r="R128" s="39" t="s">
        <v>31</v>
      </c>
      <c r="T128" s="39" t="s">
        <v>10</v>
      </c>
    </row>
    <row r="129" spans="1:20" s="39" customFormat="1">
      <c r="A129" s="39" t="s">
        <v>399</v>
      </c>
      <c r="B129" s="39" t="s">
        <v>44</v>
      </c>
      <c r="C129" s="42" t="s">
        <v>7</v>
      </c>
      <c r="D129" s="39" t="s">
        <v>368</v>
      </c>
      <c r="E129" s="39" t="s">
        <v>369</v>
      </c>
      <c r="F129" s="39" t="s">
        <v>663</v>
      </c>
      <c r="G129" s="39" t="s">
        <v>471</v>
      </c>
      <c r="H129" s="39" t="s">
        <v>262</v>
      </c>
      <c r="I129" s="39" t="s">
        <v>25</v>
      </c>
      <c r="L129" s="42" t="s">
        <v>28</v>
      </c>
      <c r="M129" s="39" t="s">
        <v>48</v>
      </c>
      <c r="N129" s="39" t="s">
        <v>470</v>
      </c>
      <c r="Q129" s="39" t="s">
        <v>9</v>
      </c>
      <c r="R129" s="39" t="s">
        <v>27</v>
      </c>
      <c r="T129" s="39" t="s">
        <v>10</v>
      </c>
    </row>
    <row r="130" spans="1:20" s="39" customFormat="1">
      <c r="A130" s="39" t="s">
        <v>400</v>
      </c>
      <c r="B130" s="39" t="s">
        <v>44</v>
      </c>
      <c r="C130" s="42" t="s">
        <v>7</v>
      </c>
      <c r="D130" s="39" t="s">
        <v>373</v>
      </c>
      <c r="E130" s="39" t="s">
        <v>387</v>
      </c>
      <c r="F130" s="39" t="s">
        <v>663</v>
      </c>
      <c r="G130" s="39" t="s">
        <v>471</v>
      </c>
      <c r="H130" s="39" t="s">
        <v>262</v>
      </c>
      <c r="I130" s="39" t="s">
        <v>25</v>
      </c>
      <c r="L130" s="42" t="s">
        <v>28</v>
      </c>
      <c r="M130" s="39" t="s">
        <v>48</v>
      </c>
      <c r="N130" s="39" t="s">
        <v>470</v>
      </c>
      <c r="Q130" s="39" t="s">
        <v>9</v>
      </c>
      <c r="R130" s="39" t="s">
        <v>27</v>
      </c>
      <c r="T130" s="39" t="s">
        <v>10</v>
      </c>
    </row>
    <row r="131" spans="1:20" s="39" customFormat="1">
      <c r="A131" s="39" t="s">
        <v>401</v>
      </c>
      <c r="B131" s="39" t="s">
        <v>44</v>
      </c>
      <c r="C131" s="42" t="s">
        <v>29</v>
      </c>
      <c r="D131" s="39" t="s">
        <v>435</v>
      </c>
      <c r="E131" s="39" t="s">
        <v>436</v>
      </c>
      <c r="F131" s="39" t="s">
        <v>663</v>
      </c>
      <c r="G131" s="39" t="s">
        <v>471</v>
      </c>
      <c r="H131" s="39" t="s">
        <v>262</v>
      </c>
      <c r="I131" s="39" t="s">
        <v>30</v>
      </c>
      <c r="L131" s="42" t="s">
        <v>28</v>
      </c>
      <c r="M131" s="39" t="s">
        <v>48</v>
      </c>
      <c r="N131" s="39" t="s">
        <v>47</v>
      </c>
      <c r="Q131" s="39" t="s">
        <v>9</v>
      </c>
      <c r="R131" s="39" t="s">
        <v>31</v>
      </c>
      <c r="T131" s="39" t="s">
        <v>10</v>
      </c>
    </row>
    <row r="132" spans="1:20" s="60" customFormat="1">
      <c r="A132" s="60" t="s">
        <v>233</v>
      </c>
      <c r="B132" s="60" t="s">
        <v>55</v>
      </c>
      <c r="C132" s="61" t="s">
        <v>34</v>
      </c>
      <c r="D132" s="60" t="s">
        <v>35</v>
      </c>
      <c r="E132" s="60" t="s">
        <v>200</v>
      </c>
      <c r="F132" s="60" t="s">
        <v>610</v>
      </c>
      <c r="G132" s="60" t="s">
        <v>613</v>
      </c>
      <c r="H132" s="60" t="s">
        <v>611</v>
      </c>
      <c r="I132" s="60" t="s">
        <v>49</v>
      </c>
      <c r="L132" s="61" t="s">
        <v>29</v>
      </c>
      <c r="M132" s="60" t="s">
        <v>612</v>
      </c>
      <c r="N132" s="60" t="s">
        <v>613</v>
      </c>
      <c r="O132" s="60" t="s">
        <v>35</v>
      </c>
      <c r="P132" s="60" t="s">
        <v>200</v>
      </c>
      <c r="Q132" s="60" t="s">
        <v>9</v>
      </c>
      <c r="R132" s="60" t="s">
        <v>50</v>
      </c>
      <c r="T132" s="60" t="s">
        <v>10</v>
      </c>
    </row>
    <row r="133" spans="1:20" s="60" customFormat="1">
      <c r="A133" s="60" t="s">
        <v>234</v>
      </c>
      <c r="B133" s="60" t="s">
        <v>55</v>
      </c>
      <c r="C133" s="61" t="s">
        <v>34</v>
      </c>
      <c r="D133" s="60" t="s">
        <v>35</v>
      </c>
      <c r="E133" s="60" t="s">
        <v>200</v>
      </c>
      <c r="F133" s="60" t="s">
        <v>605</v>
      </c>
      <c r="G133" s="60" t="s">
        <v>606</v>
      </c>
      <c r="H133" s="60" t="s">
        <v>607</v>
      </c>
      <c r="I133" s="60" t="s">
        <v>49</v>
      </c>
      <c r="L133" s="61" t="s">
        <v>29</v>
      </c>
      <c r="M133" s="60" t="s">
        <v>608</v>
      </c>
      <c r="N133" s="60" t="s">
        <v>609</v>
      </c>
      <c r="O133" s="60" t="s">
        <v>35</v>
      </c>
      <c r="P133" s="60" t="s">
        <v>200</v>
      </c>
      <c r="Q133" s="60" t="s">
        <v>9</v>
      </c>
      <c r="R133" s="60" t="s">
        <v>50</v>
      </c>
      <c r="T133" s="60" t="s">
        <v>10</v>
      </c>
    </row>
    <row r="134" spans="1:20" s="60" customFormat="1">
      <c r="A134" s="60" t="s">
        <v>235</v>
      </c>
      <c r="B134" s="60" t="s">
        <v>55</v>
      </c>
      <c r="C134" s="61" t="s">
        <v>34</v>
      </c>
      <c r="D134" s="60" t="s">
        <v>35</v>
      </c>
      <c r="E134" s="60" t="s">
        <v>200</v>
      </c>
      <c r="F134" s="60" t="s">
        <v>599</v>
      </c>
      <c r="G134" s="60" t="s">
        <v>600</v>
      </c>
      <c r="H134" s="60" t="s">
        <v>458</v>
      </c>
      <c r="I134" s="60" t="s">
        <v>459</v>
      </c>
      <c r="L134" s="61" t="s">
        <v>7</v>
      </c>
      <c r="M134" s="60" t="s">
        <v>450</v>
      </c>
      <c r="N134" s="60" t="s">
        <v>451</v>
      </c>
      <c r="O134" s="60" t="s">
        <v>35</v>
      </c>
      <c r="P134" s="60" t="s">
        <v>200</v>
      </c>
      <c r="Q134" s="60" t="s">
        <v>9</v>
      </c>
      <c r="R134" s="60" t="s">
        <v>18</v>
      </c>
      <c r="T134" s="60" t="s">
        <v>10</v>
      </c>
    </row>
    <row r="135" spans="1:20" s="60" customFormat="1">
      <c r="A135" s="60" t="s">
        <v>236</v>
      </c>
      <c r="B135" s="60" t="s">
        <v>55</v>
      </c>
      <c r="C135" s="61" t="s">
        <v>34</v>
      </c>
      <c r="D135" s="60" t="s">
        <v>35</v>
      </c>
      <c r="E135" s="60" t="s">
        <v>200</v>
      </c>
      <c r="F135" s="60" t="s">
        <v>456</v>
      </c>
      <c r="G135" s="60" t="s">
        <v>457</v>
      </c>
      <c r="H135" s="60" t="s">
        <v>458</v>
      </c>
      <c r="I135" s="60" t="s">
        <v>459</v>
      </c>
      <c r="L135" s="61" t="s">
        <v>7</v>
      </c>
      <c r="M135" s="60" t="s">
        <v>450</v>
      </c>
      <c r="N135" s="60" t="s">
        <v>451</v>
      </c>
      <c r="O135" s="60" t="s">
        <v>35</v>
      </c>
      <c r="P135" s="60" t="s">
        <v>200</v>
      </c>
      <c r="Q135" s="60" t="s">
        <v>9</v>
      </c>
      <c r="R135" s="60" t="s">
        <v>18</v>
      </c>
      <c r="T135" s="60" t="s">
        <v>10</v>
      </c>
    </row>
    <row r="136" spans="1:20" s="60" customFormat="1">
      <c r="A136" s="60" t="s">
        <v>237</v>
      </c>
      <c r="B136" s="60" t="s">
        <v>44</v>
      </c>
      <c r="C136" s="61" t="s">
        <v>7</v>
      </c>
      <c r="D136" s="60" t="s">
        <v>243</v>
      </c>
      <c r="E136" s="60" t="s">
        <v>124</v>
      </c>
      <c r="F136" s="60" t="s">
        <v>80</v>
      </c>
      <c r="G136" s="60" t="s">
        <v>81</v>
      </c>
      <c r="H136" s="60" t="s">
        <v>105</v>
      </c>
      <c r="I136" s="60" t="s">
        <v>25</v>
      </c>
      <c r="L136" s="61" t="s">
        <v>28</v>
      </c>
      <c r="M136" s="60" t="s">
        <v>45</v>
      </c>
      <c r="N136" s="60" t="s">
        <v>106</v>
      </c>
      <c r="Q136" s="60" t="s">
        <v>9</v>
      </c>
      <c r="R136" s="60" t="s">
        <v>27</v>
      </c>
      <c r="T136" s="60" t="s">
        <v>10</v>
      </c>
    </row>
    <row r="137" spans="1:20" s="60" customFormat="1">
      <c r="A137" s="60" t="s">
        <v>238</v>
      </c>
      <c r="B137" s="60" t="s">
        <v>44</v>
      </c>
      <c r="C137" s="61" t="s">
        <v>7</v>
      </c>
      <c r="D137" s="60" t="s">
        <v>244</v>
      </c>
      <c r="E137" s="60" t="s">
        <v>123</v>
      </c>
      <c r="F137" s="60" t="s">
        <v>80</v>
      </c>
      <c r="G137" s="60" t="s">
        <v>81</v>
      </c>
      <c r="H137" s="60" t="s">
        <v>105</v>
      </c>
      <c r="I137" s="60" t="s">
        <v>25</v>
      </c>
      <c r="L137" s="61" t="s">
        <v>28</v>
      </c>
      <c r="M137" s="60" t="s">
        <v>45</v>
      </c>
      <c r="N137" s="60" t="s">
        <v>106</v>
      </c>
      <c r="Q137" s="60" t="s">
        <v>9</v>
      </c>
      <c r="R137" s="60" t="s">
        <v>27</v>
      </c>
      <c r="T137" s="60" t="s">
        <v>10</v>
      </c>
    </row>
    <row r="138" spans="1:20" s="60" customFormat="1">
      <c r="A138" s="60" t="s">
        <v>239</v>
      </c>
      <c r="B138" s="60" t="s">
        <v>44</v>
      </c>
      <c r="C138" s="61" t="s">
        <v>7</v>
      </c>
      <c r="D138" s="60" t="s">
        <v>245</v>
      </c>
      <c r="E138" s="60" t="s">
        <v>127</v>
      </c>
      <c r="F138" s="60" t="s">
        <v>80</v>
      </c>
      <c r="G138" s="60" t="s">
        <v>81</v>
      </c>
      <c r="H138" s="60" t="s">
        <v>107</v>
      </c>
      <c r="I138" s="60" t="s">
        <v>25</v>
      </c>
      <c r="L138" s="61" t="s">
        <v>28</v>
      </c>
      <c r="M138" s="60" t="s">
        <v>45</v>
      </c>
      <c r="N138" s="60" t="s">
        <v>106</v>
      </c>
      <c r="Q138" s="60" t="s">
        <v>9</v>
      </c>
      <c r="R138" s="60" t="s">
        <v>27</v>
      </c>
      <c r="T138" s="60" t="s">
        <v>10</v>
      </c>
    </row>
    <row r="139" spans="1:20" s="60" customFormat="1">
      <c r="A139" s="60" t="s">
        <v>240</v>
      </c>
      <c r="B139" s="60" t="s">
        <v>44</v>
      </c>
      <c r="C139" s="61" t="s">
        <v>7</v>
      </c>
      <c r="D139" s="60" t="s">
        <v>128</v>
      </c>
      <c r="E139" s="60" t="s">
        <v>129</v>
      </c>
      <c r="F139" s="60" t="s">
        <v>80</v>
      </c>
      <c r="G139" s="60" t="s">
        <v>81</v>
      </c>
      <c r="H139" s="60" t="s">
        <v>107</v>
      </c>
      <c r="I139" s="60" t="s">
        <v>25</v>
      </c>
      <c r="L139" s="61" t="s">
        <v>28</v>
      </c>
      <c r="M139" s="60" t="s">
        <v>45</v>
      </c>
      <c r="N139" s="60" t="s">
        <v>106</v>
      </c>
      <c r="Q139" s="60" t="s">
        <v>9</v>
      </c>
      <c r="R139" s="60" t="s">
        <v>27</v>
      </c>
      <c r="T139" s="60" t="s">
        <v>10</v>
      </c>
    </row>
    <row r="140" spans="1:20" s="60" customFormat="1">
      <c r="A140" s="60" t="s">
        <v>241</v>
      </c>
      <c r="B140" s="60" t="s">
        <v>44</v>
      </c>
      <c r="C140" s="61" t="s">
        <v>7</v>
      </c>
      <c r="D140" s="60" t="s">
        <v>246</v>
      </c>
      <c r="E140" s="60" t="s">
        <v>130</v>
      </c>
      <c r="F140" s="60" t="s">
        <v>80</v>
      </c>
      <c r="G140" s="60" t="s">
        <v>81</v>
      </c>
      <c r="H140" s="60" t="s">
        <v>107</v>
      </c>
      <c r="I140" s="60" t="s">
        <v>25</v>
      </c>
      <c r="L140" s="61" t="s">
        <v>28</v>
      </c>
      <c r="M140" s="60" t="s">
        <v>45</v>
      </c>
      <c r="N140" s="60" t="s">
        <v>106</v>
      </c>
      <c r="Q140" s="60" t="s">
        <v>9</v>
      </c>
      <c r="R140" s="60" t="s">
        <v>27</v>
      </c>
      <c r="T140" s="60" t="s">
        <v>10</v>
      </c>
    </row>
    <row r="141" spans="1:20" s="60" customFormat="1">
      <c r="A141" s="60" t="s">
        <v>242</v>
      </c>
      <c r="B141" s="60" t="s">
        <v>44</v>
      </c>
      <c r="C141" s="61" t="s">
        <v>29</v>
      </c>
      <c r="D141" s="60" t="s">
        <v>453</v>
      </c>
      <c r="E141" s="60" t="s">
        <v>43</v>
      </c>
      <c r="F141" s="60" t="s">
        <v>80</v>
      </c>
      <c r="G141" s="60" t="s">
        <v>81</v>
      </c>
      <c r="H141" s="60" t="s">
        <v>107</v>
      </c>
      <c r="I141" s="60" t="s">
        <v>30</v>
      </c>
      <c r="L141" s="61" t="s">
        <v>28</v>
      </c>
      <c r="M141" s="60" t="s">
        <v>45</v>
      </c>
      <c r="N141" s="60" t="s">
        <v>106</v>
      </c>
      <c r="Q141" s="60" t="s">
        <v>9</v>
      </c>
      <c r="R141" s="60" t="s">
        <v>31</v>
      </c>
      <c r="T141" s="60" t="s">
        <v>10</v>
      </c>
    </row>
    <row r="142" spans="1:20" s="39" customFormat="1">
      <c r="A142" s="39" t="s">
        <v>935</v>
      </c>
      <c r="B142" s="39" t="s">
        <v>55</v>
      </c>
      <c r="C142" s="42" t="s">
        <v>28</v>
      </c>
      <c r="D142" s="39" t="s">
        <v>619</v>
      </c>
      <c r="E142" s="39" t="s">
        <v>620</v>
      </c>
      <c r="F142" s="39" t="s">
        <v>616</v>
      </c>
      <c r="G142" s="39" t="s">
        <v>617</v>
      </c>
      <c r="H142" s="39" t="s">
        <v>618</v>
      </c>
      <c r="I142" s="39" t="s">
        <v>27</v>
      </c>
      <c r="L142" s="42" t="s">
        <v>7</v>
      </c>
      <c r="M142" s="39" t="s">
        <v>450</v>
      </c>
      <c r="N142" s="39" t="s">
        <v>451</v>
      </c>
      <c r="O142" s="39" t="s">
        <v>619</v>
      </c>
      <c r="P142" s="39" t="s">
        <v>620</v>
      </c>
      <c r="Q142" s="39" t="s">
        <v>9</v>
      </c>
      <c r="R142" s="39" t="s">
        <v>25</v>
      </c>
      <c r="T142" s="39" t="s">
        <v>10</v>
      </c>
    </row>
    <row r="143" spans="1:20" s="39" customFormat="1">
      <c r="A143" s="39" t="s">
        <v>936</v>
      </c>
      <c r="B143" s="39" t="s">
        <v>55</v>
      </c>
      <c r="C143" s="42" t="s">
        <v>28</v>
      </c>
      <c r="D143" s="39" t="s">
        <v>80</v>
      </c>
      <c r="E143" s="39" t="s">
        <v>81</v>
      </c>
      <c r="F143" s="39" t="s">
        <v>599</v>
      </c>
      <c r="G143" s="39" t="s">
        <v>600</v>
      </c>
      <c r="H143" s="39" t="s">
        <v>458</v>
      </c>
      <c r="I143" s="39" t="s">
        <v>27</v>
      </c>
      <c r="L143" s="42" t="s">
        <v>7</v>
      </c>
      <c r="M143" s="39" t="s">
        <v>450</v>
      </c>
      <c r="N143" s="39" t="s">
        <v>451</v>
      </c>
      <c r="O143" s="39" t="s">
        <v>80</v>
      </c>
      <c r="P143" s="39" t="s">
        <v>81</v>
      </c>
      <c r="Q143" s="39" t="s">
        <v>9</v>
      </c>
      <c r="R143" s="39" t="s">
        <v>25</v>
      </c>
      <c r="T143" s="39" t="s">
        <v>10</v>
      </c>
    </row>
    <row r="144" spans="1:20">
      <c r="A144" s="19" t="s">
        <v>937</v>
      </c>
      <c r="B144" s="19" t="s">
        <v>55</v>
      </c>
      <c r="C144" s="45" t="s">
        <v>28</v>
      </c>
      <c r="F144" s="19" t="s">
        <v>919</v>
      </c>
      <c r="G144" s="19" t="s">
        <v>920</v>
      </c>
      <c r="H144" s="19" t="s">
        <v>921</v>
      </c>
      <c r="I144" s="19" t="s">
        <v>31</v>
      </c>
      <c r="L144" s="45" t="s">
        <v>7</v>
      </c>
      <c r="M144" s="19" t="s">
        <v>450</v>
      </c>
      <c r="N144" s="19" t="s">
        <v>451</v>
      </c>
      <c r="Q144" s="19" t="s">
        <v>9</v>
      </c>
      <c r="R144" s="19" t="s">
        <v>25</v>
      </c>
      <c r="T144" s="19" t="s">
        <v>10</v>
      </c>
    </row>
    <row r="145" spans="1:20">
      <c r="A145" s="19" t="s">
        <v>938</v>
      </c>
      <c r="B145" s="19" t="s">
        <v>55</v>
      </c>
      <c r="C145" s="45" t="s">
        <v>28</v>
      </c>
      <c r="F145" s="19" t="s">
        <v>922</v>
      </c>
      <c r="G145" s="19" t="s">
        <v>923</v>
      </c>
      <c r="H145" s="19" t="s">
        <v>924</v>
      </c>
      <c r="I145" s="19" t="s">
        <v>27</v>
      </c>
      <c r="L145" s="45" t="s">
        <v>7</v>
      </c>
      <c r="M145" s="19" t="s">
        <v>450</v>
      </c>
      <c r="N145" s="19" t="s">
        <v>451</v>
      </c>
      <c r="Q145" s="19" t="s">
        <v>9</v>
      </c>
      <c r="R145" s="19" t="s">
        <v>25</v>
      </c>
      <c r="T145" s="19" t="s">
        <v>10</v>
      </c>
    </row>
    <row r="146" spans="1:20">
      <c r="A146" s="19" t="s">
        <v>939</v>
      </c>
      <c r="C146" s="19"/>
      <c r="L146" s="45" t="s">
        <v>7</v>
      </c>
      <c r="R146" s="19" t="s">
        <v>25</v>
      </c>
      <c r="T146" s="19" t="s">
        <v>10</v>
      </c>
    </row>
    <row r="147" spans="1:20">
      <c r="A147" s="19" t="s">
        <v>940</v>
      </c>
      <c r="L147" s="45" t="s">
        <v>7</v>
      </c>
      <c r="R147" s="19" t="s">
        <v>25</v>
      </c>
      <c r="T147" s="19" t="s">
        <v>10</v>
      </c>
    </row>
    <row r="148" spans="1:20">
      <c r="A148" s="19" t="s">
        <v>941</v>
      </c>
      <c r="L148" s="45" t="s">
        <v>7</v>
      </c>
      <c r="R148" s="19" t="s">
        <v>25</v>
      </c>
      <c r="T148" s="19" t="s">
        <v>10</v>
      </c>
    </row>
    <row r="149" spans="1:20" s="39" customFormat="1">
      <c r="A149" s="39" t="s">
        <v>942</v>
      </c>
      <c r="B149" s="39" t="s">
        <v>55</v>
      </c>
      <c r="C149" s="39" t="s">
        <v>29</v>
      </c>
      <c r="D149" s="39" t="s">
        <v>866</v>
      </c>
      <c r="E149" s="39" t="s">
        <v>861</v>
      </c>
      <c r="F149" s="39" t="s">
        <v>866</v>
      </c>
      <c r="G149" s="39" t="s">
        <v>867</v>
      </c>
      <c r="H149" s="39" t="s">
        <v>868</v>
      </c>
      <c r="I149" s="39" t="s">
        <v>859</v>
      </c>
      <c r="L149" s="39" t="s">
        <v>7</v>
      </c>
      <c r="M149" s="39" t="s">
        <v>450</v>
      </c>
      <c r="N149" s="39" t="s">
        <v>451</v>
      </c>
      <c r="O149" s="39" t="s">
        <v>866</v>
      </c>
      <c r="P149" s="39" t="s">
        <v>861</v>
      </c>
      <c r="Q149" s="39" t="s">
        <v>9</v>
      </c>
      <c r="R149" s="39" t="s">
        <v>860</v>
      </c>
      <c r="T149" s="39" t="s">
        <v>10</v>
      </c>
    </row>
    <row r="150" spans="1:20" s="39" customFormat="1">
      <c r="A150" s="39" t="s">
        <v>943</v>
      </c>
      <c r="B150" s="39" t="s">
        <v>55</v>
      </c>
      <c r="C150" s="39" t="s">
        <v>29</v>
      </c>
      <c r="D150" s="39" t="s">
        <v>866</v>
      </c>
      <c r="E150" s="39" t="s">
        <v>861</v>
      </c>
      <c r="F150" s="39" t="s">
        <v>914</v>
      </c>
      <c r="G150" s="39" t="s">
        <v>915</v>
      </c>
      <c r="H150" s="39" t="s">
        <v>868</v>
      </c>
      <c r="I150" s="39" t="s">
        <v>859</v>
      </c>
      <c r="L150" s="39" t="s">
        <v>7</v>
      </c>
      <c r="M150" s="39" t="s">
        <v>450</v>
      </c>
      <c r="N150" s="39" t="s">
        <v>451</v>
      </c>
      <c r="O150" s="39" t="s">
        <v>866</v>
      </c>
      <c r="P150" s="39" t="s">
        <v>861</v>
      </c>
      <c r="Q150" s="39" t="s">
        <v>9</v>
      </c>
      <c r="R150" s="39" t="s">
        <v>860</v>
      </c>
      <c r="T150" s="39" t="s">
        <v>10</v>
      </c>
    </row>
    <row r="151" spans="1:20" s="39" customFormat="1">
      <c r="A151" s="39" t="s">
        <v>944</v>
      </c>
      <c r="B151" s="39" t="s">
        <v>55</v>
      </c>
      <c r="C151" s="42" t="s">
        <v>29</v>
      </c>
      <c r="D151" s="39" t="s">
        <v>866</v>
      </c>
      <c r="E151" s="39" t="s">
        <v>861</v>
      </c>
      <c r="F151" s="39" t="s">
        <v>916</v>
      </c>
      <c r="G151" s="39" t="s">
        <v>917</v>
      </c>
      <c r="H151" s="39" t="s">
        <v>918</v>
      </c>
      <c r="I151" s="39" t="s">
        <v>859</v>
      </c>
      <c r="L151" s="39" t="s">
        <v>7</v>
      </c>
      <c r="M151" s="39" t="s">
        <v>450</v>
      </c>
      <c r="N151" s="39" t="s">
        <v>451</v>
      </c>
      <c r="O151" s="39" t="s">
        <v>866</v>
      </c>
      <c r="P151" s="39" t="s">
        <v>861</v>
      </c>
      <c r="Q151" s="39" t="s">
        <v>9</v>
      </c>
      <c r="R151" s="39" t="s">
        <v>860</v>
      </c>
      <c r="T151" s="39" t="s">
        <v>10</v>
      </c>
    </row>
    <row r="152" spans="1:20" s="20" customFormat="1">
      <c r="A152" s="20" t="s">
        <v>925</v>
      </c>
      <c r="B152" s="20" t="s">
        <v>55</v>
      </c>
      <c r="C152" s="43" t="s">
        <v>28</v>
      </c>
      <c r="D152" s="20" t="s">
        <v>102</v>
      </c>
      <c r="E152" s="20" t="s">
        <v>275</v>
      </c>
      <c r="F152" s="20" t="s">
        <v>102</v>
      </c>
      <c r="G152" s="20" t="s">
        <v>43</v>
      </c>
      <c r="H152" s="20" t="s">
        <v>789</v>
      </c>
      <c r="I152" s="20" t="s">
        <v>31</v>
      </c>
      <c r="L152" s="43" t="s">
        <v>29</v>
      </c>
      <c r="M152" s="20" t="s">
        <v>102</v>
      </c>
      <c r="N152" s="20" t="s">
        <v>43</v>
      </c>
      <c r="O152" s="20" t="s">
        <v>102</v>
      </c>
      <c r="P152" s="20" t="s">
        <v>275</v>
      </c>
      <c r="Q152" s="20" t="s">
        <v>789</v>
      </c>
      <c r="R152" s="20" t="s">
        <v>30</v>
      </c>
      <c r="T152" s="20" t="s">
        <v>10</v>
      </c>
    </row>
    <row r="153" spans="1:20" s="20" customFormat="1">
      <c r="A153" s="20" t="s">
        <v>926</v>
      </c>
      <c r="B153" s="20" t="s">
        <v>55</v>
      </c>
      <c r="C153" s="43" t="s">
        <v>28</v>
      </c>
      <c r="D153" s="20" t="s">
        <v>790</v>
      </c>
      <c r="E153" s="20" t="s">
        <v>26</v>
      </c>
      <c r="F153" s="20" t="s">
        <v>102</v>
      </c>
      <c r="G153" s="20" t="s">
        <v>43</v>
      </c>
      <c r="H153" s="20" t="s">
        <v>789</v>
      </c>
      <c r="I153" s="20" t="s">
        <v>31</v>
      </c>
      <c r="L153" s="43" t="s">
        <v>29</v>
      </c>
      <c r="M153" s="20" t="s">
        <v>102</v>
      </c>
      <c r="N153" s="20" t="s">
        <v>43</v>
      </c>
      <c r="O153" s="20" t="s">
        <v>790</v>
      </c>
      <c r="P153" s="20" t="s">
        <v>26</v>
      </c>
      <c r="Q153" s="20" t="s">
        <v>789</v>
      </c>
      <c r="R153" s="20" t="s">
        <v>30</v>
      </c>
      <c r="T153" s="20" t="s">
        <v>10</v>
      </c>
    </row>
    <row r="154" spans="1:20" s="20" customFormat="1">
      <c r="A154" s="20" t="s">
        <v>927</v>
      </c>
      <c r="B154" s="20" t="s">
        <v>55</v>
      </c>
      <c r="C154" s="43" t="s">
        <v>28</v>
      </c>
      <c r="D154" s="20" t="s">
        <v>80</v>
      </c>
      <c r="E154" s="20" t="s">
        <v>81</v>
      </c>
      <c r="F154" s="20" t="s">
        <v>614</v>
      </c>
      <c r="G154" s="20" t="s">
        <v>92</v>
      </c>
      <c r="H154" s="20" t="s">
        <v>615</v>
      </c>
      <c r="I154" s="20" t="s">
        <v>31</v>
      </c>
      <c r="L154" s="43" t="s">
        <v>29</v>
      </c>
      <c r="M154" s="20" t="s">
        <v>48</v>
      </c>
      <c r="N154" s="20" t="s">
        <v>43</v>
      </c>
      <c r="Q154" s="20" t="s">
        <v>9</v>
      </c>
      <c r="R154" s="20" t="s">
        <v>30</v>
      </c>
      <c r="T154" s="20" t="s">
        <v>10</v>
      </c>
    </row>
    <row r="155" spans="1:20">
      <c r="A155" s="19" t="s">
        <v>928</v>
      </c>
      <c r="B155" s="19" t="s">
        <v>55</v>
      </c>
      <c r="C155" s="45" t="s">
        <v>28</v>
      </c>
      <c r="I155" s="19" t="s">
        <v>31</v>
      </c>
      <c r="L155" s="45" t="s">
        <v>29</v>
      </c>
      <c r="R155" s="19" t="s">
        <v>30</v>
      </c>
      <c r="T155" s="19" t="s">
        <v>10</v>
      </c>
    </row>
    <row r="156" spans="1:20">
      <c r="A156" s="19" t="s">
        <v>929</v>
      </c>
      <c r="B156" s="19" t="s">
        <v>55</v>
      </c>
      <c r="C156" s="45" t="s">
        <v>28</v>
      </c>
      <c r="I156" s="19" t="s">
        <v>31</v>
      </c>
      <c r="L156" s="45" t="s">
        <v>29</v>
      </c>
      <c r="R156" s="19" t="s">
        <v>30</v>
      </c>
      <c r="T156" s="19" t="s">
        <v>10</v>
      </c>
    </row>
    <row r="157" spans="1:20">
      <c r="A157" s="19" t="s">
        <v>930</v>
      </c>
      <c r="B157" s="19" t="s">
        <v>55</v>
      </c>
      <c r="C157" s="45" t="s">
        <v>28</v>
      </c>
      <c r="I157" s="19" t="s">
        <v>31</v>
      </c>
      <c r="L157" s="45" t="s">
        <v>29</v>
      </c>
      <c r="R157" s="19" t="s">
        <v>30</v>
      </c>
      <c r="T157" s="19" t="s">
        <v>10</v>
      </c>
    </row>
    <row r="158" spans="1:20">
      <c r="A158" s="19" t="s">
        <v>931</v>
      </c>
      <c r="B158" s="19" t="s">
        <v>55</v>
      </c>
      <c r="C158" s="45" t="s">
        <v>28</v>
      </c>
      <c r="I158" s="19" t="s">
        <v>31</v>
      </c>
      <c r="L158" s="45" t="s">
        <v>29</v>
      </c>
      <c r="R158" s="19" t="s">
        <v>30</v>
      </c>
      <c r="T158" s="19" t="s">
        <v>10</v>
      </c>
    </row>
    <row r="159" spans="1:20">
      <c r="A159" s="19" t="s">
        <v>932</v>
      </c>
      <c r="B159" s="19" t="s">
        <v>55</v>
      </c>
      <c r="C159" s="45" t="s">
        <v>28</v>
      </c>
      <c r="I159" s="19" t="s">
        <v>31</v>
      </c>
      <c r="L159" s="45" t="s">
        <v>29</v>
      </c>
      <c r="R159" s="19" t="s">
        <v>30</v>
      </c>
      <c r="T159" s="19" t="s">
        <v>10</v>
      </c>
    </row>
    <row r="160" spans="1:20">
      <c r="A160" s="19" t="s">
        <v>933</v>
      </c>
      <c r="B160" s="19" t="s">
        <v>55</v>
      </c>
      <c r="C160" s="45" t="s">
        <v>28</v>
      </c>
      <c r="I160" s="19" t="s">
        <v>31</v>
      </c>
      <c r="L160" s="45" t="s">
        <v>29</v>
      </c>
      <c r="R160" s="19" t="s">
        <v>30</v>
      </c>
      <c r="T160" s="19" t="s">
        <v>10</v>
      </c>
    </row>
    <row r="161" spans="1:20">
      <c r="A161" s="19" t="s">
        <v>934</v>
      </c>
      <c r="B161" s="19" t="s">
        <v>55</v>
      </c>
      <c r="C161" s="45" t="s">
        <v>28</v>
      </c>
      <c r="I161" s="19" t="s">
        <v>31</v>
      </c>
      <c r="L161" s="45" t="s">
        <v>29</v>
      </c>
      <c r="R161" s="19" t="s">
        <v>30</v>
      </c>
      <c r="T161" s="19" t="s">
        <v>10</v>
      </c>
    </row>
    <row r="162" spans="1:20" s="39" customFormat="1">
      <c r="A162" s="39" t="s">
        <v>699</v>
      </c>
      <c r="B162" s="39" t="s">
        <v>564</v>
      </c>
      <c r="C162" s="42" t="s">
        <v>34</v>
      </c>
      <c r="D162" s="39" t="s">
        <v>98</v>
      </c>
      <c r="E162" s="39" t="s">
        <v>200</v>
      </c>
      <c r="F162" s="39" t="s">
        <v>111</v>
      </c>
      <c r="G162" s="39" t="s">
        <v>110</v>
      </c>
      <c r="H162" s="39" t="s">
        <v>99</v>
      </c>
      <c r="I162" s="39" t="s">
        <v>49</v>
      </c>
      <c r="J162" s="39" t="s">
        <v>101</v>
      </c>
      <c r="L162" s="42" t="s">
        <v>29</v>
      </c>
      <c r="M162" s="39" t="s">
        <v>111</v>
      </c>
      <c r="N162" s="39" t="s">
        <v>110</v>
      </c>
      <c r="O162" s="39" t="s">
        <v>98</v>
      </c>
      <c r="P162" s="39" t="s">
        <v>200</v>
      </c>
      <c r="Q162" s="39" t="s">
        <v>100</v>
      </c>
      <c r="R162" s="39" t="s">
        <v>50</v>
      </c>
      <c r="S162" s="39" t="s">
        <v>101</v>
      </c>
      <c r="T162" s="39" t="s">
        <v>10</v>
      </c>
    </row>
    <row r="163" spans="1:20" s="39" customFormat="1">
      <c r="A163" s="39" t="s">
        <v>700</v>
      </c>
      <c r="B163" s="39" t="s">
        <v>564</v>
      </c>
      <c r="C163" s="42" t="s">
        <v>28</v>
      </c>
      <c r="D163" s="39" t="s">
        <v>108</v>
      </c>
      <c r="E163" s="39" t="s">
        <v>26</v>
      </c>
      <c r="F163" s="39" t="s">
        <v>858</v>
      </c>
      <c r="G163" s="39" t="s">
        <v>91</v>
      </c>
      <c r="H163" s="39" t="s">
        <v>99</v>
      </c>
      <c r="I163" s="39" t="s">
        <v>65</v>
      </c>
      <c r="J163" s="39" t="s">
        <v>101</v>
      </c>
      <c r="L163" s="42" t="s">
        <v>42</v>
      </c>
      <c r="M163" s="39" t="s">
        <v>858</v>
      </c>
      <c r="N163" s="39" t="s">
        <v>91</v>
      </c>
      <c r="O163" s="39" t="s">
        <v>108</v>
      </c>
      <c r="P163" s="39" t="s">
        <v>26</v>
      </c>
      <c r="Q163" s="39" t="s">
        <v>100</v>
      </c>
      <c r="R163" s="39" t="s">
        <v>66</v>
      </c>
      <c r="S163" s="39" t="s">
        <v>101</v>
      </c>
      <c r="T163" s="39" t="s">
        <v>10</v>
      </c>
    </row>
    <row r="164" spans="1:20" s="39" customFormat="1">
      <c r="A164" s="39" t="s">
        <v>701</v>
      </c>
      <c r="B164" s="39" t="s">
        <v>72</v>
      </c>
      <c r="C164" s="42" t="s">
        <v>82</v>
      </c>
      <c r="D164" s="39" t="s">
        <v>84</v>
      </c>
      <c r="E164" s="39" t="s">
        <v>227</v>
      </c>
      <c r="F164" s="39" t="s">
        <v>109</v>
      </c>
      <c r="G164" s="39" t="s">
        <v>110</v>
      </c>
      <c r="H164" s="39" t="s">
        <v>83</v>
      </c>
      <c r="I164" s="39" t="s">
        <v>49</v>
      </c>
      <c r="J164" s="39" t="s">
        <v>78</v>
      </c>
      <c r="L164" s="42" t="s">
        <v>29</v>
      </c>
      <c r="M164" s="39" t="s">
        <v>109</v>
      </c>
      <c r="N164" s="39" t="s">
        <v>110</v>
      </c>
      <c r="O164" s="39" t="s">
        <v>84</v>
      </c>
      <c r="P164" s="39" t="s">
        <v>227</v>
      </c>
      <c r="Q164" s="39" t="s">
        <v>85</v>
      </c>
      <c r="R164" s="39" t="s">
        <v>50</v>
      </c>
      <c r="S164" s="39" t="s">
        <v>78</v>
      </c>
      <c r="T164" s="39" t="s">
        <v>10</v>
      </c>
    </row>
    <row r="165" spans="1:20" s="39" customFormat="1">
      <c r="A165" s="39" t="s">
        <v>702</v>
      </c>
      <c r="B165" s="39" t="s">
        <v>72</v>
      </c>
      <c r="C165" s="42" t="s">
        <v>4</v>
      </c>
      <c r="D165" s="39" t="s">
        <v>466</v>
      </c>
      <c r="E165" s="39" t="s">
        <v>201</v>
      </c>
      <c r="F165" s="39" t="s">
        <v>603</v>
      </c>
      <c r="G165" s="39" t="s">
        <v>110</v>
      </c>
      <c r="H165" s="39" t="s">
        <v>83</v>
      </c>
      <c r="I165" s="39" t="s">
        <v>49</v>
      </c>
      <c r="J165" s="39" t="s">
        <v>78</v>
      </c>
      <c r="L165" s="42" t="s">
        <v>29</v>
      </c>
      <c r="M165" s="39" t="s">
        <v>603</v>
      </c>
      <c r="N165" s="39" t="s">
        <v>110</v>
      </c>
      <c r="O165" s="39" t="s">
        <v>466</v>
      </c>
      <c r="P165" s="39" t="s">
        <v>201</v>
      </c>
      <c r="Q165" s="39" t="s">
        <v>85</v>
      </c>
      <c r="R165" s="39" t="s">
        <v>50</v>
      </c>
      <c r="S165" s="39" t="s">
        <v>78</v>
      </c>
      <c r="T165" s="39" t="s">
        <v>10</v>
      </c>
    </row>
    <row r="166" spans="1:20" s="39" customFormat="1">
      <c r="A166" s="39" t="s">
        <v>703</v>
      </c>
      <c r="B166" s="39" t="s">
        <v>72</v>
      </c>
      <c r="C166" s="42" t="s">
        <v>286</v>
      </c>
      <c r="D166" s="39" t="s">
        <v>472</v>
      </c>
      <c r="E166" s="39" t="s">
        <v>229</v>
      </c>
      <c r="F166" s="39" t="s">
        <v>556</v>
      </c>
      <c r="G166" s="39" t="s">
        <v>112</v>
      </c>
      <c r="H166" s="39" t="s">
        <v>83</v>
      </c>
      <c r="I166" s="39" t="s">
        <v>49</v>
      </c>
      <c r="J166" s="39" t="s">
        <v>78</v>
      </c>
      <c r="L166" s="42" t="s">
        <v>29</v>
      </c>
      <c r="M166" s="39" t="s">
        <v>556</v>
      </c>
      <c r="N166" s="39" t="s">
        <v>112</v>
      </c>
      <c r="O166" s="39" t="s">
        <v>472</v>
      </c>
      <c r="P166" s="39" t="s">
        <v>229</v>
      </c>
      <c r="Q166" s="39" t="s">
        <v>85</v>
      </c>
      <c r="R166" s="39" t="s">
        <v>555</v>
      </c>
      <c r="S166" s="39" t="s">
        <v>78</v>
      </c>
      <c r="T166" s="39" t="s">
        <v>10</v>
      </c>
    </row>
    <row r="167" spans="1:20" s="39" customFormat="1">
      <c r="A167" s="39" t="s">
        <v>704</v>
      </c>
      <c r="B167" s="39" t="s">
        <v>72</v>
      </c>
      <c r="C167" s="42" t="s">
        <v>34</v>
      </c>
      <c r="D167" s="39" t="s">
        <v>872</v>
      </c>
      <c r="E167" s="39" t="s">
        <v>36</v>
      </c>
      <c r="F167" s="39" t="s">
        <v>872</v>
      </c>
      <c r="G167" s="39" t="s">
        <v>873</v>
      </c>
      <c r="H167" s="39" t="s">
        <v>83</v>
      </c>
      <c r="I167" s="39" t="s">
        <v>49</v>
      </c>
      <c r="J167" s="39" t="s">
        <v>78</v>
      </c>
      <c r="L167" s="42" t="s">
        <v>29</v>
      </c>
      <c r="M167" s="39" t="s">
        <v>872</v>
      </c>
      <c r="N167" s="39" t="s">
        <v>874</v>
      </c>
      <c r="O167" s="39" t="s">
        <v>872</v>
      </c>
      <c r="P167" s="39" t="s">
        <v>36</v>
      </c>
      <c r="Q167" s="39" t="s">
        <v>85</v>
      </c>
      <c r="R167" s="39" t="s">
        <v>50</v>
      </c>
      <c r="S167" s="39" t="s">
        <v>78</v>
      </c>
      <c r="T167" s="39" t="s">
        <v>10</v>
      </c>
    </row>
    <row r="168" spans="1:20" s="39" customFormat="1">
      <c r="A168" s="39" t="s">
        <v>705</v>
      </c>
      <c r="B168" s="39" t="s">
        <v>72</v>
      </c>
      <c r="C168" s="42" t="s">
        <v>34</v>
      </c>
      <c r="D168" s="39" t="s">
        <v>109</v>
      </c>
      <c r="E168" s="39" t="s">
        <v>36</v>
      </c>
      <c r="F168" s="39" t="s">
        <v>109</v>
      </c>
      <c r="G168" s="39" t="s">
        <v>110</v>
      </c>
      <c r="H168" s="39" t="s">
        <v>83</v>
      </c>
      <c r="I168" s="39" t="s">
        <v>49</v>
      </c>
      <c r="J168" s="39" t="s">
        <v>78</v>
      </c>
      <c r="L168" s="42" t="s">
        <v>29</v>
      </c>
      <c r="M168" s="39" t="s">
        <v>109</v>
      </c>
      <c r="N168" s="39" t="s">
        <v>110</v>
      </c>
      <c r="O168" s="39" t="s">
        <v>109</v>
      </c>
      <c r="P168" s="39" t="s">
        <v>36</v>
      </c>
      <c r="Q168" s="39" t="s">
        <v>85</v>
      </c>
      <c r="R168" s="39" t="s">
        <v>50</v>
      </c>
      <c r="S168" s="39" t="s">
        <v>78</v>
      </c>
      <c r="T168" s="39" t="s">
        <v>10</v>
      </c>
    </row>
    <row r="169" spans="1:20" s="39" customFormat="1">
      <c r="A169" s="39" t="s">
        <v>706</v>
      </c>
      <c r="B169" s="39" t="s">
        <v>72</v>
      </c>
      <c r="C169" s="42" t="s">
        <v>34</v>
      </c>
      <c r="D169" s="39" t="s">
        <v>109</v>
      </c>
      <c r="E169" s="39" t="s">
        <v>36</v>
      </c>
      <c r="F169" s="39" t="s">
        <v>109</v>
      </c>
      <c r="G169" s="39" t="s">
        <v>110</v>
      </c>
      <c r="H169" s="39" t="s">
        <v>877</v>
      </c>
      <c r="I169" s="39" t="s">
        <v>49</v>
      </c>
      <c r="J169" s="39" t="s">
        <v>78</v>
      </c>
      <c r="L169" s="42" t="s">
        <v>29</v>
      </c>
      <c r="M169" s="39" t="s">
        <v>109</v>
      </c>
      <c r="N169" s="39" t="s">
        <v>110</v>
      </c>
      <c r="O169" s="39" t="s">
        <v>109</v>
      </c>
      <c r="P169" s="39" t="s">
        <v>36</v>
      </c>
      <c r="Q169" s="39" t="s">
        <v>876</v>
      </c>
      <c r="R169" s="39" t="s">
        <v>50</v>
      </c>
      <c r="S169" s="39" t="s">
        <v>78</v>
      </c>
      <c r="T169" s="39" t="s">
        <v>10</v>
      </c>
    </row>
    <row r="170" spans="1:20" s="39" customFormat="1">
      <c r="A170" s="39" t="s">
        <v>707</v>
      </c>
      <c r="B170" s="39" t="s">
        <v>72</v>
      </c>
      <c r="C170" s="39" t="s">
        <v>34</v>
      </c>
      <c r="D170" s="39" t="s">
        <v>109</v>
      </c>
      <c r="E170" s="39" t="s">
        <v>36</v>
      </c>
      <c r="F170" s="39" t="s">
        <v>109</v>
      </c>
      <c r="G170" s="39" t="s">
        <v>110</v>
      </c>
      <c r="H170" s="39" t="s">
        <v>76</v>
      </c>
      <c r="I170" s="39" t="s">
        <v>49</v>
      </c>
      <c r="J170" s="39" t="s">
        <v>78</v>
      </c>
      <c r="L170" s="39" t="s">
        <v>29</v>
      </c>
      <c r="M170" s="39" t="s">
        <v>109</v>
      </c>
      <c r="N170" s="39" t="s">
        <v>110</v>
      </c>
      <c r="O170" s="39" t="s">
        <v>109</v>
      </c>
      <c r="P170" s="39" t="s">
        <v>36</v>
      </c>
      <c r="Q170" s="39" t="s">
        <v>77</v>
      </c>
      <c r="R170" s="39" t="s">
        <v>50</v>
      </c>
      <c r="S170" s="39" t="s">
        <v>78</v>
      </c>
      <c r="T170" s="39" t="s">
        <v>10</v>
      </c>
    </row>
    <row r="171" spans="1:20" s="39" customFormat="1">
      <c r="A171" s="39" t="s">
        <v>708</v>
      </c>
      <c r="B171" s="39" t="s">
        <v>72</v>
      </c>
      <c r="C171" s="42" t="s">
        <v>7</v>
      </c>
      <c r="D171" s="39" t="s">
        <v>109</v>
      </c>
      <c r="E171" s="39" t="s">
        <v>21</v>
      </c>
      <c r="F171" s="39" t="s">
        <v>109</v>
      </c>
      <c r="G171" s="39" t="s">
        <v>875</v>
      </c>
      <c r="H171" s="39" t="s">
        <v>83</v>
      </c>
      <c r="I171" s="39" t="s">
        <v>554</v>
      </c>
      <c r="J171" s="39" t="s">
        <v>78</v>
      </c>
      <c r="L171" s="42" t="s">
        <v>29</v>
      </c>
      <c r="M171" s="39" t="s">
        <v>109</v>
      </c>
      <c r="N171" s="39" t="s">
        <v>875</v>
      </c>
      <c r="O171" s="39" t="s">
        <v>109</v>
      </c>
      <c r="P171" s="39" t="s">
        <v>21</v>
      </c>
      <c r="Q171" s="39" t="s">
        <v>85</v>
      </c>
      <c r="R171" s="39" t="s">
        <v>555</v>
      </c>
      <c r="S171" s="39" t="s">
        <v>78</v>
      </c>
      <c r="T171" s="39" t="s">
        <v>10</v>
      </c>
    </row>
    <row r="172" spans="1:20" s="20" customFormat="1">
      <c r="A172" s="20" t="s">
        <v>698</v>
      </c>
      <c r="B172" s="39" t="s">
        <v>72</v>
      </c>
      <c r="C172" s="42" t="s">
        <v>7</v>
      </c>
      <c r="D172" s="39" t="s">
        <v>109</v>
      </c>
      <c r="E172" s="39" t="s">
        <v>21</v>
      </c>
      <c r="F172" s="39" t="s">
        <v>109</v>
      </c>
      <c r="G172" s="39" t="s">
        <v>110</v>
      </c>
      <c r="H172" s="39" t="s">
        <v>83</v>
      </c>
      <c r="I172" s="39" t="s">
        <v>554</v>
      </c>
      <c r="J172" s="39" t="s">
        <v>78</v>
      </c>
      <c r="K172" s="39"/>
      <c r="L172" s="42" t="s">
        <v>29</v>
      </c>
      <c r="M172" s="39" t="s">
        <v>109</v>
      </c>
      <c r="N172" s="39" t="s">
        <v>110</v>
      </c>
      <c r="O172" s="39" t="s">
        <v>109</v>
      </c>
      <c r="P172" s="39" t="s">
        <v>21</v>
      </c>
      <c r="Q172" s="39" t="s">
        <v>85</v>
      </c>
      <c r="R172" s="39" t="s">
        <v>555</v>
      </c>
      <c r="S172" s="39" t="s">
        <v>78</v>
      </c>
      <c r="T172" s="39" t="s">
        <v>10</v>
      </c>
    </row>
    <row r="173" spans="1:20" s="20" customFormat="1">
      <c r="A173" s="20" t="s">
        <v>709</v>
      </c>
      <c r="B173" s="20" t="s">
        <v>72</v>
      </c>
      <c r="C173" s="43" t="s">
        <v>7</v>
      </c>
      <c r="D173" s="20" t="s">
        <v>109</v>
      </c>
      <c r="E173" s="20" t="s">
        <v>21</v>
      </c>
      <c r="F173" s="20" t="s">
        <v>109</v>
      </c>
      <c r="G173" s="20" t="s">
        <v>110</v>
      </c>
      <c r="H173" s="20" t="s">
        <v>76</v>
      </c>
      <c r="I173" s="20" t="s">
        <v>554</v>
      </c>
      <c r="J173" s="20" t="s">
        <v>78</v>
      </c>
      <c r="L173" s="43" t="s">
        <v>29</v>
      </c>
      <c r="M173" s="20" t="s">
        <v>109</v>
      </c>
      <c r="N173" s="20" t="s">
        <v>110</v>
      </c>
      <c r="O173" s="20" t="s">
        <v>109</v>
      </c>
      <c r="P173" s="20" t="s">
        <v>21</v>
      </c>
      <c r="Q173" s="20" t="s">
        <v>77</v>
      </c>
      <c r="R173" s="20" t="s">
        <v>555</v>
      </c>
      <c r="S173" s="20" t="s">
        <v>78</v>
      </c>
      <c r="T173" s="20" t="s">
        <v>10</v>
      </c>
    </row>
    <row r="174" spans="1:20" s="20" customFormat="1">
      <c r="A174" s="20" t="s">
        <v>710</v>
      </c>
      <c r="B174" s="20" t="s">
        <v>72</v>
      </c>
      <c r="C174" s="43" t="s">
        <v>28</v>
      </c>
      <c r="D174" s="20" t="s">
        <v>109</v>
      </c>
      <c r="E174" s="20" t="s">
        <v>26</v>
      </c>
      <c r="F174" s="20" t="s">
        <v>109</v>
      </c>
      <c r="G174" s="20" t="s">
        <v>875</v>
      </c>
      <c r="H174" s="20" t="s">
        <v>76</v>
      </c>
      <c r="I174" s="20" t="s">
        <v>31</v>
      </c>
      <c r="J174" s="20" t="s">
        <v>78</v>
      </c>
      <c r="L174" s="43" t="s">
        <v>29</v>
      </c>
      <c r="M174" s="20" t="s">
        <v>109</v>
      </c>
      <c r="N174" s="20" t="s">
        <v>875</v>
      </c>
      <c r="O174" s="20" t="s">
        <v>109</v>
      </c>
      <c r="P174" s="20" t="s">
        <v>26</v>
      </c>
      <c r="Q174" s="20" t="s">
        <v>77</v>
      </c>
      <c r="R174" s="20" t="s">
        <v>30</v>
      </c>
      <c r="S174" s="20" t="s">
        <v>78</v>
      </c>
      <c r="T174" s="20" t="s">
        <v>10</v>
      </c>
    </row>
    <row r="175" spans="1:20" s="20" customFormat="1">
      <c r="A175" s="20" t="s">
        <v>711</v>
      </c>
      <c r="B175" s="20" t="s">
        <v>72</v>
      </c>
      <c r="C175" s="43" t="s">
        <v>28</v>
      </c>
      <c r="D175" s="20" t="s">
        <v>109</v>
      </c>
      <c r="E175" s="20" t="s">
        <v>26</v>
      </c>
      <c r="F175" s="20" t="s">
        <v>109</v>
      </c>
      <c r="G175" s="20" t="s">
        <v>875</v>
      </c>
      <c r="H175" s="20" t="s">
        <v>83</v>
      </c>
      <c r="I175" s="20" t="s">
        <v>31</v>
      </c>
      <c r="J175" s="20" t="s">
        <v>78</v>
      </c>
      <c r="L175" s="43" t="s">
        <v>29</v>
      </c>
      <c r="M175" s="20" t="s">
        <v>109</v>
      </c>
      <c r="N175" s="20" t="s">
        <v>875</v>
      </c>
      <c r="O175" s="20" t="s">
        <v>109</v>
      </c>
      <c r="P175" s="20" t="s">
        <v>26</v>
      </c>
      <c r="Q175" s="20" t="s">
        <v>85</v>
      </c>
      <c r="R175" s="20" t="s">
        <v>30</v>
      </c>
      <c r="S175" s="20" t="s">
        <v>78</v>
      </c>
      <c r="T175" s="20" t="s">
        <v>10</v>
      </c>
    </row>
    <row r="176" spans="1:20" s="20" customFormat="1">
      <c r="A176" s="20" t="s">
        <v>712</v>
      </c>
      <c r="B176" s="20" t="s">
        <v>72</v>
      </c>
      <c r="C176" s="43" t="s">
        <v>28</v>
      </c>
      <c r="D176" s="20" t="s">
        <v>69</v>
      </c>
      <c r="E176" s="20" t="s">
        <v>26</v>
      </c>
      <c r="F176" s="20" t="s">
        <v>69</v>
      </c>
      <c r="G176" s="20" t="s">
        <v>112</v>
      </c>
      <c r="H176" s="20" t="s">
        <v>83</v>
      </c>
      <c r="I176" s="20" t="s">
        <v>31</v>
      </c>
      <c r="J176" s="20" t="s">
        <v>78</v>
      </c>
      <c r="L176" s="43" t="s">
        <v>29</v>
      </c>
      <c r="M176" s="20" t="s">
        <v>69</v>
      </c>
      <c r="N176" s="20" t="s">
        <v>112</v>
      </c>
      <c r="O176" s="20" t="s">
        <v>69</v>
      </c>
      <c r="P176" s="20" t="s">
        <v>26</v>
      </c>
      <c r="Q176" s="20" t="s">
        <v>85</v>
      </c>
      <c r="R176" s="20" t="s">
        <v>30</v>
      </c>
      <c r="S176" s="20" t="s">
        <v>78</v>
      </c>
      <c r="T176" s="20" t="s">
        <v>10</v>
      </c>
    </row>
    <row r="177" spans="1:20" s="20" customFormat="1">
      <c r="A177" s="20" t="s">
        <v>713</v>
      </c>
      <c r="B177" s="20" t="s">
        <v>72</v>
      </c>
      <c r="C177" s="20" t="s">
        <v>7</v>
      </c>
      <c r="D177" s="20" t="s">
        <v>965</v>
      </c>
      <c r="E177" s="20" t="s">
        <v>21</v>
      </c>
      <c r="F177" s="20" t="s">
        <v>968</v>
      </c>
      <c r="G177" s="20" t="s">
        <v>969</v>
      </c>
      <c r="H177" s="20" t="s">
        <v>967</v>
      </c>
      <c r="I177" s="20" t="s">
        <v>50</v>
      </c>
      <c r="L177" s="20" t="s">
        <v>29</v>
      </c>
      <c r="M177" s="20" t="s">
        <v>968</v>
      </c>
      <c r="N177" s="20" t="s">
        <v>969</v>
      </c>
      <c r="O177" s="20" t="s">
        <v>965</v>
      </c>
      <c r="P177" s="20" t="s">
        <v>21</v>
      </c>
      <c r="Q177" s="20" t="s">
        <v>966</v>
      </c>
      <c r="R177" s="20" t="s">
        <v>50</v>
      </c>
      <c r="T177" s="20" t="s">
        <v>10</v>
      </c>
    </row>
    <row r="178" spans="1:20" s="20" customFormat="1">
      <c r="A178" s="20" t="s">
        <v>714</v>
      </c>
      <c r="B178" s="20" t="s">
        <v>73</v>
      </c>
      <c r="C178" s="43" t="s">
        <v>7</v>
      </c>
      <c r="D178" s="20" t="s">
        <v>41</v>
      </c>
      <c r="E178" s="20" t="s">
        <v>21</v>
      </c>
      <c r="G178" s="20" t="s">
        <v>662</v>
      </c>
      <c r="H178" s="20" t="s">
        <v>853</v>
      </c>
      <c r="I178" s="20" t="s">
        <v>49</v>
      </c>
      <c r="J178" s="20" t="s">
        <v>79</v>
      </c>
      <c r="L178" s="43" t="s">
        <v>29</v>
      </c>
      <c r="M178" s="20" t="s">
        <v>869</v>
      </c>
      <c r="N178" s="20" t="s">
        <v>662</v>
      </c>
      <c r="O178" s="20" t="s">
        <v>41</v>
      </c>
      <c r="P178" s="20" t="s">
        <v>21</v>
      </c>
      <c r="Q178" s="20" t="s">
        <v>852</v>
      </c>
      <c r="R178" s="20" t="s">
        <v>50</v>
      </c>
      <c r="S178" s="20" t="s">
        <v>79</v>
      </c>
      <c r="T178" s="20" t="s">
        <v>10</v>
      </c>
    </row>
    <row r="179" spans="1:20" s="20" customFormat="1">
      <c r="A179" s="20" t="s">
        <v>715</v>
      </c>
      <c r="B179" s="20" t="s">
        <v>73</v>
      </c>
      <c r="C179" s="43" t="s">
        <v>7</v>
      </c>
      <c r="D179" s="20" t="s">
        <v>41</v>
      </c>
      <c r="E179" s="20" t="s">
        <v>21</v>
      </c>
      <c r="F179" s="20" t="s">
        <v>784</v>
      </c>
      <c r="G179" s="20" t="s">
        <v>785</v>
      </c>
      <c r="H179" s="20" t="s">
        <v>786</v>
      </c>
      <c r="I179" s="20" t="s">
        <v>49</v>
      </c>
      <c r="J179" s="20" t="s">
        <v>79</v>
      </c>
      <c r="L179" s="43" t="s">
        <v>29</v>
      </c>
      <c r="M179" s="20" t="s">
        <v>784</v>
      </c>
      <c r="N179" s="20" t="s">
        <v>785</v>
      </c>
      <c r="O179" s="20" t="s">
        <v>41</v>
      </c>
      <c r="P179" s="20" t="s">
        <v>21</v>
      </c>
      <c r="Q179" s="20" t="s">
        <v>787</v>
      </c>
      <c r="R179" s="20" t="s">
        <v>50</v>
      </c>
      <c r="S179" s="20" t="s">
        <v>79</v>
      </c>
      <c r="T179" s="20" t="s">
        <v>10</v>
      </c>
    </row>
    <row r="180" spans="1:20" s="20" customFormat="1">
      <c r="A180" s="20" t="s">
        <v>716</v>
      </c>
      <c r="B180" s="20" t="s">
        <v>73</v>
      </c>
      <c r="C180" s="43" t="s">
        <v>7</v>
      </c>
      <c r="D180" s="20" t="s">
        <v>41</v>
      </c>
      <c r="E180" s="20" t="s">
        <v>21</v>
      </c>
      <c r="F180" s="20" t="s">
        <v>854</v>
      </c>
      <c r="G180" s="20" t="s">
        <v>855</v>
      </c>
      <c r="H180" s="20" t="s">
        <v>786</v>
      </c>
      <c r="I180" s="20" t="s">
        <v>49</v>
      </c>
      <c r="J180" s="20" t="s">
        <v>79</v>
      </c>
      <c r="L180" s="43" t="s">
        <v>29</v>
      </c>
      <c r="M180" s="20" t="s">
        <v>854</v>
      </c>
      <c r="N180" s="20" t="s">
        <v>855</v>
      </c>
      <c r="O180" s="20" t="s">
        <v>41</v>
      </c>
      <c r="P180" s="20" t="s">
        <v>21</v>
      </c>
      <c r="Q180" s="20" t="s">
        <v>787</v>
      </c>
      <c r="R180" s="20" t="s">
        <v>50</v>
      </c>
      <c r="S180" s="20" t="s">
        <v>79</v>
      </c>
      <c r="T180" s="20" t="s">
        <v>10</v>
      </c>
    </row>
    <row r="181" spans="1:20" s="20" customFormat="1">
      <c r="A181" s="20" t="s">
        <v>717</v>
      </c>
      <c r="B181" s="20" t="s">
        <v>72</v>
      </c>
      <c r="C181" s="43" t="s">
        <v>42</v>
      </c>
      <c r="D181" s="20" t="s">
        <v>492</v>
      </c>
      <c r="E181" s="20" t="s">
        <v>59</v>
      </c>
      <c r="F181" s="20" t="s">
        <v>913</v>
      </c>
      <c r="G181" s="20" t="s">
        <v>912</v>
      </c>
      <c r="H181" s="20" t="s">
        <v>856</v>
      </c>
      <c r="I181" s="20" t="s">
        <v>67</v>
      </c>
      <c r="J181" s="20" t="s">
        <v>79</v>
      </c>
      <c r="L181" s="43" t="s">
        <v>7</v>
      </c>
      <c r="M181" s="20" t="s">
        <v>913</v>
      </c>
      <c r="N181" s="20" t="s">
        <v>912</v>
      </c>
      <c r="O181" s="20" t="s">
        <v>492</v>
      </c>
      <c r="P181" s="20" t="s">
        <v>59</v>
      </c>
      <c r="Q181" s="20" t="s">
        <v>857</v>
      </c>
      <c r="R181" s="20" t="s">
        <v>68</v>
      </c>
      <c r="S181" s="20" t="s">
        <v>79</v>
      </c>
      <c r="T181" s="20" t="s">
        <v>10</v>
      </c>
    </row>
    <row r="182" spans="1:20">
      <c r="A182" s="39" t="s">
        <v>718</v>
      </c>
      <c r="B182" s="20" t="s">
        <v>72</v>
      </c>
      <c r="C182" s="43" t="s">
        <v>28</v>
      </c>
      <c r="D182" s="20" t="s">
        <v>660</v>
      </c>
      <c r="E182" s="20" t="s">
        <v>264</v>
      </c>
      <c r="F182" s="20" t="s">
        <v>728</v>
      </c>
      <c r="G182" s="20" t="s">
        <v>91</v>
      </c>
      <c r="H182" s="20" t="s">
        <v>71</v>
      </c>
      <c r="I182" s="20" t="s">
        <v>65</v>
      </c>
      <c r="J182" s="20"/>
      <c r="K182" s="20"/>
      <c r="L182" s="43" t="s">
        <v>42</v>
      </c>
      <c r="M182" s="20" t="s">
        <v>858</v>
      </c>
      <c r="N182" s="20" t="s">
        <v>91</v>
      </c>
      <c r="O182" s="20" t="s">
        <v>660</v>
      </c>
      <c r="P182" s="20" t="s">
        <v>264</v>
      </c>
      <c r="Q182" s="20" t="s">
        <v>75</v>
      </c>
      <c r="R182" s="20" t="s">
        <v>66</v>
      </c>
      <c r="S182" s="20"/>
      <c r="T182" s="20" t="s">
        <v>10</v>
      </c>
    </row>
    <row r="183" spans="1:20">
      <c r="A183" s="39" t="s">
        <v>719</v>
      </c>
      <c r="B183" s="20" t="s">
        <v>72</v>
      </c>
      <c r="C183" s="43" t="s">
        <v>7</v>
      </c>
      <c r="D183" s="20" t="s">
        <v>20</v>
      </c>
      <c r="E183" s="20" t="s">
        <v>21</v>
      </c>
      <c r="F183" s="20" t="s">
        <v>69</v>
      </c>
      <c r="G183" s="20" t="s">
        <v>70</v>
      </c>
      <c r="H183" s="20" t="s">
        <v>71</v>
      </c>
      <c r="I183" s="20" t="s">
        <v>56</v>
      </c>
      <c r="J183" s="20"/>
      <c r="K183" s="20"/>
      <c r="L183" s="43" t="s">
        <v>42</v>
      </c>
      <c r="M183" s="20" t="s">
        <v>69</v>
      </c>
      <c r="N183" s="20" t="s">
        <v>70</v>
      </c>
      <c r="O183" s="20" t="s">
        <v>20</v>
      </c>
      <c r="P183" s="20" t="s">
        <v>21</v>
      </c>
      <c r="Q183" s="20" t="s">
        <v>75</v>
      </c>
      <c r="R183" s="20" t="s">
        <v>57</v>
      </c>
      <c r="S183" s="20"/>
      <c r="T183" s="20" t="s">
        <v>10</v>
      </c>
    </row>
    <row r="184" spans="1:20" s="39" customFormat="1">
      <c r="A184" s="39" t="s">
        <v>720</v>
      </c>
      <c r="B184" s="39" t="s">
        <v>564</v>
      </c>
      <c r="C184" s="42" t="s">
        <v>28</v>
      </c>
      <c r="D184" s="39" t="s">
        <v>619</v>
      </c>
      <c r="E184" s="39" t="s">
        <v>620</v>
      </c>
      <c r="F184" s="39" t="s">
        <v>1007</v>
      </c>
      <c r="G184" s="39" t="s">
        <v>1008</v>
      </c>
      <c r="H184" s="39" t="s">
        <v>1005</v>
      </c>
      <c r="I184" s="39" t="s">
        <v>31</v>
      </c>
      <c r="J184" s="39" t="s">
        <v>567</v>
      </c>
      <c r="L184" s="42" t="s">
        <v>29</v>
      </c>
      <c r="M184" s="39" t="s">
        <v>1007</v>
      </c>
      <c r="N184" s="39" t="s">
        <v>1008</v>
      </c>
      <c r="O184" s="39" t="s">
        <v>619</v>
      </c>
      <c r="P184" s="39" t="s">
        <v>620</v>
      </c>
      <c r="Q184" s="39" t="s">
        <v>1006</v>
      </c>
      <c r="R184" s="39" t="s">
        <v>30</v>
      </c>
      <c r="S184" s="39" t="s">
        <v>567</v>
      </c>
      <c r="T184" s="39" t="s">
        <v>10</v>
      </c>
    </row>
    <row r="185" spans="1:20">
      <c r="A185" s="19" t="s">
        <v>721</v>
      </c>
      <c r="C185" s="19"/>
      <c r="L185" s="45" t="s">
        <v>29</v>
      </c>
      <c r="Q185" s="19" t="s">
        <v>1006</v>
      </c>
      <c r="R185" s="19" t="s">
        <v>30</v>
      </c>
      <c r="S185" s="19" t="s">
        <v>567</v>
      </c>
      <c r="T185" s="19" t="s">
        <v>10</v>
      </c>
    </row>
    <row r="186" spans="1:20">
      <c r="A186" s="39" t="s">
        <v>722</v>
      </c>
      <c r="B186" s="39" t="s">
        <v>564</v>
      </c>
      <c r="C186" s="42" t="s">
        <v>7</v>
      </c>
      <c r="D186" s="39" t="s">
        <v>20</v>
      </c>
      <c r="E186" s="39" t="s">
        <v>553</v>
      </c>
      <c r="F186" s="39" t="s">
        <v>125</v>
      </c>
      <c r="G186" s="39" t="s">
        <v>565</v>
      </c>
      <c r="H186" s="39" t="s">
        <v>566</v>
      </c>
      <c r="I186" s="39" t="s">
        <v>49</v>
      </c>
      <c r="J186" s="39" t="s">
        <v>567</v>
      </c>
      <c r="K186" s="39"/>
      <c r="L186" s="42" t="s">
        <v>29</v>
      </c>
      <c r="M186" s="39" t="s">
        <v>125</v>
      </c>
      <c r="N186" s="39" t="s">
        <v>565</v>
      </c>
      <c r="O186" s="39" t="s">
        <v>563</v>
      </c>
      <c r="P186" s="39" t="s">
        <v>21</v>
      </c>
      <c r="Q186" s="39" t="s">
        <v>568</v>
      </c>
      <c r="R186" s="39" t="s">
        <v>50</v>
      </c>
      <c r="S186" s="39" t="s">
        <v>567</v>
      </c>
      <c r="T186" s="39" t="s">
        <v>10</v>
      </c>
    </row>
    <row r="187" spans="1:20">
      <c r="A187" s="39" t="s">
        <v>723</v>
      </c>
      <c r="B187" s="39" t="s">
        <v>564</v>
      </c>
      <c r="C187" s="42" t="s">
        <v>7</v>
      </c>
      <c r="D187" s="39" t="s">
        <v>20</v>
      </c>
      <c r="E187" s="39" t="s">
        <v>553</v>
      </c>
      <c r="F187" s="39" t="s">
        <v>125</v>
      </c>
      <c r="G187" s="39" t="s">
        <v>569</v>
      </c>
      <c r="H187" s="39" t="s">
        <v>566</v>
      </c>
      <c r="I187" s="39" t="s">
        <v>49</v>
      </c>
      <c r="J187" s="39" t="s">
        <v>567</v>
      </c>
      <c r="K187" s="39"/>
      <c r="L187" s="42" t="s">
        <v>29</v>
      </c>
      <c r="M187" s="39" t="s">
        <v>125</v>
      </c>
      <c r="N187" s="39" t="s">
        <v>569</v>
      </c>
      <c r="O187" s="39" t="s">
        <v>563</v>
      </c>
      <c r="P187" s="39" t="s">
        <v>21</v>
      </c>
      <c r="Q187" s="39" t="s">
        <v>568</v>
      </c>
      <c r="R187" s="39" t="s">
        <v>50</v>
      </c>
      <c r="S187" s="39" t="s">
        <v>567</v>
      </c>
      <c r="T187" s="39" t="s">
        <v>10</v>
      </c>
    </row>
    <row r="188" spans="1:20">
      <c r="A188" s="39" t="s">
        <v>724</v>
      </c>
      <c r="B188" s="39" t="s">
        <v>72</v>
      </c>
      <c r="C188" s="42" t="s">
        <v>42</v>
      </c>
      <c r="D188" s="39" t="s">
        <v>517</v>
      </c>
      <c r="E188" s="39" t="s">
        <v>518</v>
      </c>
      <c r="F188" s="39" t="s">
        <v>496</v>
      </c>
      <c r="G188" s="39" t="s">
        <v>497</v>
      </c>
      <c r="H188" s="39" t="s">
        <v>498</v>
      </c>
      <c r="I188" s="39" t="s">
        <v>67</v>
      </c>
      <c r="J188" s="39"/>
      <c r="K188" s="39"/>
      <c r="L188" s="42" t="s">
        <v>7</v>
      </c>
      <c r="M188" s="39" t="s">
        <v>496</v>
      </c>
      <c r="N188" s="39" t="s">
        <v>497</v>
      </c>
      <c r="O188" s="39" t="s">
        <v>517</v>
      </c>
      <c r="P188" s="39" t="s">
        <v>518</v>
      </c>
      <c r="Q188" s="39" t="s">
        <v>9</v>
      </c>
      <c r="R188" s="39" t="s">
        <v>68</v>
      </c>
      <c r="S188" s="39"/>
      <c r="T188" s="39" t="s">
        <v>10</v>
      </c>
    </row>
    <row r="189" spans="1:20">
      <c r="A189" s="39" t="s">
        <v>725</v>
      </c>
      <c r="B189" s="39" t="s">
        <v>73</v>
      </c>
      <c r="C189" s="42" t="s">
        <v>29</v>
      </c>
      <c r="D189" s="39" t="s">
        <v>604</v>
      </c>
      <c r="E189" s="39" t="s">
        <v>457</v>
      </c>
      <c r="F189" s="39" t="s">
        <v>619</v>
      </c>
      <c r="G189" s="39" t="s">
        <v>620</v>
      </c>
      <c r="H189" s="39" t="s">
        <v>232</v>
      </c>
      <c r="I189" s="39" t="s">
        <v>30</v>
      </c>
      <c r="J189" s="39" t="s">
        <v>79</v>
      </c>
      <c r="K189" s="39"/>
      <c r="L189" s="42" t="s">
        <v>28</v>
      </c>
      <c r="M189" s="39" t="s">
        <v>619</v>
      </c>
      <c r="N189" s="39" t="s">
        <v>620</v>
      </c>
      <c r="O189" s="39" t="s">
        <v>604</v>
      </c>
      <c r="P189" s="39" t="s">
        <v>457</v>
      </c>
      <c r="Q189" s="39" t="s">
        <v>74</v>
      </c>
      <c r="R189" s="39" t="s">
        <v>31</v>
      </c>
      <c r="S189" s="39" t="s">
        <v>79</v>
      </c>
      <c r="T189" s="39" t="s">
        <v>10</v>
      </c>
    </row>
    <row r="190" spans="1:20">
      <c r="A190" s="39" t="s">
        <v>726</v>
      </c>
      <c r="B190" s="39" t="s">
        <v>73</v>
      </c>
      <c r="C190" s="42" t="s">
        <v>7</v>
      </c>
      <c r="D190" s="39" t="s">
        <v>621</v>
      </c>
      <c r="E190" s="39" t="s">
        <v>622</v>
      </c>
      <c r="F190" s="39" t="s">
        <v>619</v>
      </c>
      <c r="G190" s="39" t="s">
        <v>620</v>
      </c>
      <c r="H190" s="39" t="s">
        <v>232</v>
      </c>
      <c r="I190" s="39" t="s">
        <v>25</v>
      </c>
      <c r="J190" s="39" t="s">
        <v>79</v>
      </c>
      <c r="K190" s="39"/>
      <c r="L190" s="42" t="s">
        <v>28</v>
      </c>
      <c r="M190" s="39" t="s">
        <v>619</v>
      </c>
      <c r="N190" s="39" t="s">
        <v>620</v>
      </c>
      <c r="O190" s="39" t="s">
        <v>621</v>
      </c>
      <c r="P190" s="39" t="s">
        <v>622</v>
      </c>
      <c r="Q190" s="39" t="s">
        <v>74</v>
      </c>
      <c r="R190" s="39" t="s">
        <v>27</v>
      </c>
      <c r="S190" s="39" t="s">
        <v>79</v>
      </c>
      <c r="T190" s="39" t="s">
        <v>10</v>
      </c>
    </row>
    <row r="191" spans="1:20">
      <c r="A191" s="39" t="s">
        <v>727</v>
      </c>
      <c r="B191" s="39" t="s">
        <v>73</v>
      </c>
      <c r="C191" s="42" t="s">
        <v>29</v>
      </c>
      <c r="D191" s="39" t="s">
        <v>561</v>
      </c>
      <c r="E191" s="39" t="s">
        <v>562</v>
      </c>
      <c r="F191" s="39" t="s">
        <v>80</v>
      </c>
      <c r="G191" s="39" t="s">
        <v>81</v>
      </c>
      <c r="H191" s="39" t="s">
        <v>232</v>
      </c>
      <c r="I191" s="39" t="s">
        <v>30</v>
      </c>
      <c r="J191" s="39" t="s">
        <v>79</v>
      </c>
      <c r="K191" s="39"/>
      <c r="L191" s="42" t="s">
        <v>28</v>
      </c>
      <c r="M191" s="39" t="s">
        <v>80</v>
      </c>
      <c r="N191" s="39" t="s">
        <v>81</v>
      </c>
      <c r="O191" s="39" t="s">
        <v>561</v>
      </c>
      <c r="P191" s="39" t="s">
        <v>562</v>
      </c>
      <c r="Q191" s="39" t="s">
        <v>74</v>
      </c>
      <c r="R191" s="39" t="s">
        <v>31</v>
      </c>
      <c r="S191" s="39" t="s">
        <v>79</v>
      </c>
      <c r="T191" s="39" t="s">
        <v>10</v>
      </c>
    </row>
    <row r="192" spans="1:20">
      <c r="A192" s="39" t="s">
        <v>1009</v>
      </c>
      <c r="B192" s="39" t="s">
        <v>73</v>
      </c>
      <c r="C192" s="42" t="s">
        <v>7</v>
      </c>
      <c r="D192" s="39" t="s">
        <v>20</v>
      </c>
      <c r="E192" s="39" t="s">
        <v>21</v>
      </c>
      <c r="F192" s="39" t="s">
        <v>80</v>
      </c>
      <c r="G192" s="39" t="s">
        <v>81</v>
      </c>
      <c r="H192" s="39" t="s">
        <v>232</v>
      </c>
      <c r="I192" s="39" t="s">
        <v>479</v>
      </c>
      <c r="J192" s="39" t="s">
        <v>79</v>
      </c>
      <c r="K192" s="39"/>
      <c r="L192" s="42" t="s">
        <v>28</v>
      </c>
      <c r="M192" s="39" t="s">
        <v>80</v>
      </c>
      <c r="N192" s="39" t="s">
        <v>81</v>
      </c>
      <c r="O192" s="39" t="s">
        <v>563</v>
      </c>
      <c r="P192" s="39" t="s">
        <v>21</v>
      </c>
      <c r="Q192" s="39" t="s">
        <v>74</v>
      </c>
      <c r="R192" s="39" t="s">
        <v>384</v>
      </c>
      <c r="S192" s="39" t="s">
        <v>79</v>
      </c>
      <c r="T192" s="39" t="s">
        <v>10</v>
      </c>
    </row>
    <row r="193" spans="1:20">
      <c r="A193" s="39" t="s">
        <v>1010</v>
      </c>
      <c r="B193" s="39" t="s">
        <v>73</v>
      </c>
      <c r="C193" s="42" t="s">
        <v>7</v>
      </c>
      <c r="D193" s="39" t="s">
        <v>121</v>
      </c>
      <c r="E193" s="39" t="s">
        <v>122</v>
      </c>
      <c r="F193" s="39" t="s">
        <v>80</v>
      </c>
      <c r="G193" s="39" t="s">
        <v>81</v>
      </c>
      <c r="H193" s="39" t="s">
        <v>232</v>
      </c>
      <c r="I193" s="39" t="s">
        <v>25</v>
      </c>
      <c r="J193" s="39" t="s">
        <v>79</v>
      </c>
      <c r="K193" s="39"/>
      <c r="L193" s="42" t="s">
        <v>28</v>
      </c>
      <c r="M193" s="39" t="s">
        <v>80</v>
      </c>
      <c r="N193" s="39" t="s">
        <v>81</v>
      </c>
      <c r="O193" s="39" t="s">
        <v>121</v>
      </c>
      <c r="P193" s="39" t="s">
        <v>122</v>
      </c>
      <c r="Q193" s="39" t="s">
        <v>74</v>
      </c>
      <c r="R193" s="39" t="s">
        <v>27</v>
      </c>
      <c r="S193" s="39" t="s">
        <v>79</v>
      </c>
      <c r="T193" s="39" t="s">
        <v>10</v>
      </c>
    </row>
    <row r="194" spans="1:20">
      <c r="A194" s="39" t="s">
        <v>1011</v>
      </c>
      <c r="B194" s="39" t="s">
        <v>73</v>
      </c>
      <c r="C194" s="42" t="s">
        <v>7</v>
      </c>
      <c r="D194" s="39" t="s">
        <v>125</v>
      </c>
      <c r="E194" s="39" t="s">
        <v>126</v>
      </c>
      <c r="F194" s="39" t="s">
        <v>80</v>
      </c>
      <c r="G194" s="39" t="s">
        <v>81</v>
      </c>
      <c r="H194" s="39" t="s">
        <v>232</v>
      </c>
      <c r="I194" s="39" t="s">
        <v>25</v>
      </c>
      <c r="J194" s="39" t="s">
        <v>79</v>
      </c>
      <c r="K194" s="39"/>
      <c r="L194" s="42" t="s">
        <v>28</v>
      </c>
      <c r="M194" s="39" t="s">
        <v>80</v>
      </c>
      <c r="N194" s="39" t="s">
        <v>81</v>
      </c>
      <c r="O194" s="39" t="s">
        <v>125</v>
      </c>
      <c r="P194" s="39" t="s">
        <v>126</v>
      </c>
      <c r="Q194" s="39" t="s">
        <v>74</v>
      </c>
      <c r="R194" s="39" t="s">
        <v>27</v>
      </c>
      <c r="S194" s="39" t="s">
        <v>79</v>
      </c>
      <c r="T194" s="39" t="s">
        <v>10</v>
      </c>
    </row>
    <row r="195" spans="1:20">
      <c r="A195" s="39" t="s">
        <v>1012</v>
      </c>
      <c r="B195" s="39" t="s">
        <v>72</v>
      </c>
      <c r="C195" s="42" t="s">
        <v>7</v>
      </c>
      <c r="D195" s="39" t="s">
        <v>1019</v>
      </c>
      <c r="E195" s="39" t="s">
        <v>21</v>
      </c>
      <c r="F195" s="39" t="s">
        <v>1019</v>
      </c>
      <c r="G195" s="39" t="s">
        <v>1020</v>
      </c>
      <c r="H195" s="39" t="s">
        <v>76</v>
      </c>
      <c r="I195" s="39" t="s">
        <v>554</v>
      </c>
      <c r="J195" s="39" t="s">
        <v>78</v>
      </c>
      <c r="K195" s="39"/>
      <c r="L195" s="42" t="s">
        <v>29</v>
      </c>
      <c r="M195" s="39" t="s">
        <v>1019</v>
      </c>
      <c r="N195" s="39" t="s">
        <v>1020</v>
      </c>
      <c r="O195" s="39" t="s">
        <v>1019</v>
      </c>
      <c r="P195" s="39" t="s">
        <v>21</v>
      </c>
      <c r="Q195" s="20" t="s">
        <v>77</v>
      </c>
      <c r="R195" s="39" t="s">
        <v>555</v>
      </c>
      <c r="S195" s="39" t="s">
        <v>78</v>
      </c>
      <c r="T195" s="39" t="s">
        <v>10</v>
      </c>
    </row>
    <row r="196" spans="1:20">
      <c r="A196" s="39" t="s">
        <v>1013</v>
      </c>
      <c r="B196" s="39" t="s">
        <v>72</v>
      </c>
      <c r="C196" s="42" t="s">
        <v>7</v>
      </c>
      <c r="D196" s="39" t="s">
        <v>1019</v>
      </c>
      <c r="E196" s="39" t="s">
        <v>21</v>
      </c>
      <c r="F196" s="39" t="s">
        <v>1019</v>
      </c>
      <c r="G196" s="39" t="s">
        <v>1020</v>
      </c>
      <c r="H196" s="39" t="s">
        <v>83</v>
      </c>
      <c r="I196" s="39" t="s">
        <v>554</v>
      </c>
      <c r="J196" s="39" t="s">
        <v>78</v>
      </c>
      <c r="K196" s="39"/>
      <c r="L196" s="42" t="s">
        <v>29</v>
      </c>
      <c r="M196" s="39" t="s">
        <v>1019</v>
      </c>
      <c r="N196" s="39" t="s">
        <v>1020</v>
      </c>
      <c r="O196" s="39" t="s">
        <v>1019</v>
      </c>
      <c r="P196" s="39" t="s">
        <v>21</v>
      </c>
      <c r="Q196" s="39" t="s">
        <v>85</v>
      </c>
      <c r="R196" s="39" t="s">
        <v>555</v>
      </c>
      <c r="S196" s="39" t="s">
        <v>78</v>
      </c>
      <c r="T196" s="39" t="s">
        <v>10</v>
      </c>
    </row>
    <row r="197" spans="1:20">
      <c r="A197" s="19" t="s">
        <v>1014</v>
      </c>
      <c r="T197" s="19" t="s">
        <v>10</v>
      </c>
    </row>
    <row r="198" spans="1:20">
      <c r="A198" s="19" t="s">
        <v>1015</v>
      </c>
      <c r="T198" s="19" t="s">
        <v>10</v>
      </c>
    </row>
    <row r="199" spans="1:20">
      <c r="A199" s="19" t="s">
        <v>1016</v>
      </c>
      <c r="T199" s="19" t="s">
        <v>10</v>
      </c>
    </row>
    <row r="200" spans="1:20">
      <c r="A200" s="19" t="s">
        <v>1017</v>
      </c>
      <c r="T200" s="19" t="s">
        <v>10</v>
      </c>
    </row>
    <row r="201" spans="1:20">
      <c r="A201" s="19" t="s">
        <v>1018</v>
      </c>
      <c r="T201" s="19" t="s">
        <v>10</v>
      </c>
    </row>
    <row r="202" spans="1:20">
      <c r="A202" s="20" t="s">
        <v>205</v>
      </c>
      <c r="B202" s="20" t="s">
        <v>86</v>
      </c>
      <c r="C202" s="43" t="s">
        <v>42</v>
      </c>
      <c r="D202" s="20" t="s">
        <v>134</v>
      </c>
      <c r="E202" s="20" t="s">
        <v>43</v>
      </c>
      <c r="F202" s="20" t="s">
        <v>41</v>
      </c>
      <c r="G202" s="20" t="s">
        <v>21</v>
      </c>
      <c r="H202" s="20" t="s">
        <v>87</v>
      </c>
      <c r="I202" s="20" t="s">
        <v>57</v>
      </c>
      <c r="J202" s="20"/>
      <c r="K202" s="20" t="s">
        <v>10</v>
      </c>
      <c r="L202" s="43"/>
      <c r="M202" s="20"/>
      <c r="N202" s="20"/>
      <c r="O202" s="20"/>
      <c r="P202" s="20"/>
      <c r="Q202" s="20"/>
      <c r="R202" s="20"/>
      <c r="S202" s="20"/>
      <c r="T202" s="20"/>
    </row>
    <row r="203" spans="1:20" s="20" customFormat="1">
      <c r="A203" s="20" t="s">
        <v>206</v>
      </c>
      <c r="B203" s="20" t="s">
        <v>86</v>
      </c>
      <c r="C203" s="43" t="s">
        <v>42</v>
      </c>
      <c r="D203" s="20" t="s">
        <v>571</v>
      </c>
      <c r="E203" s="20" t="s">
        <v>92</v>
      </c>
      <c r="F203" s="20" t="s">
        <v>41</v>
      </c>
      <c r="G203" s="20" t="s">
        <v>21</v>
      </c>
      <c r="H203" s="20" t="s">
        <v>87</v>
      </c>
      <c r="I203" s="20" t="s">
        <v>57</v>
      </c>
      <c r="K203" s="20" t="s">
        <v>10</v>
      </c>
      <c r="L203" s="43"/>
    </row>
    <row r="204" spans="1:20" s="20" customFormat="1">
      <c r="A204" s="20" t="s">
        <v>207</v>
      </c>
      <c r="B204" s="20" t="s">
        <v>363</v>
      </c>
      <c r="C204" s="43" t="s">
        <v>42</v>
      </c>
      <c r="D204" s="20" t="s">
        <v>131</v>
      </c>
      <c r="E204" s="20" t="s">
        <v>43</v>
      </c>
      <c r="F204" s="20" t="s">
        <v>41</v>
      </c>
      <c r="G204" s="20" t="s">
        <v>21</v>
      </c>
      <c r="H204" s="20" t="s">
        <v>88</v>
      </c>
      <c r="I204" s="20" t="s">
        <v>57</v>
      </c>
      <c r="K204" s="20" t="s">
        <v>10</v>
      </c>
      <c r="L204" s="43"/>
    </row>
    <row r="205" spans="1:20" s="20" customFormat="1">
      <c r="A205" s="20" t="s">
        <v>208</v>
      </c>
      <c r="B205" s="20" t="s">
        <v>363</v>
      </c>
      <c r="C205" s="43" t="s">
        <v>42</v>
      </c>
      <c r="D205" s="20" t="s">
        <v>572</v>
      </c>
      <c r="E205" s="20" t="s">
        <v>573</v>
      </c>
      <c r="F205" s="20" t="s">
        <v>41</v>
      </c>
      <c r="G205" s="20" t="s">
        <v>21</v>
      </c>
      <c r="H205" s="20" t="s">
        <v>88</v>
      </c>
      <c r="I205" s="20" t="s">
        <v>57</v>
      </c>
      <c r="K205" s="20" t="s">
        <v>10</v>
      </c>
      <c r="L205" s="43"/>
    </row>
    <row r="206" spans="1:20" s="20" customFormat="1">
      <c r="A206" s="20" t="s">
        <v>209</v>
      </c>
      <c r="B206" s="20" t="s">
        <v>363</v>
      </c>
      <c r="C206" s="43" t="s">
        <v>42</v>
      </c>
      <c r="D206" s="20" t="s">
        <v>570</v>
      </c>
      <c r="E206" s="20" t="s">
        <v>92</v>
      </c>
      <c r="F206" s="20" t="s">
        <v>41</v>
      </c>
      <c r="G206" s="20" t="s">
        <v>21</v>
      </c>
      <c r="H206" s="20" t="s">
        <v>90</v>
      </c>
      <c r="I206" s="20" t="s">
        <v>57</v>
      </c>
      <c r="K206" s="20" t="s">
        <v>10</v>
      </c>
      <c r="L206" s="43"/>
    </row>
    <row r="207" spans="1:20" s="20" customFormat="1">
      <c r="A207" s="20" t="s">
        <v>210</v>
      </c>
      <c r="B207" s="20" t="s">
        <v>363</v>
      </c>
      <c r="C207" s="43" t="s">
        <v>42</v>
      </c>
      <c r="D207" s="20" t="s">
        <v>282</v>
      </c>
      <c r="E207" s="20" t="s">
        <v>43</v>
      </c>
      <c r="F207" s="20" t="s">
        <v>41</v>
      </c>
      <c r="G207" s="20" t="s">
        <v>21</v>
      </c>
      <c r="H207" s="20" t="s">
        <v>90</v>
      </c>
      <c r="I207" s="20" t="s">
        <v>57</v>
      </c>
      <c r="K207" s="20" t="s">
        <v>10</v>
      </c>
      <c r="L207" s="43"/>
    </row>
    <row r="208" spans="1:20" s="20" customFormat="1">
      <c r="A208" s="20" t="s">
        <v>211</v>
      </c>
      <c r="B208" s="20" t="s">
        <v>251</v>
      </c>
      <c r="C208" s="43" t="s">
        <v>42</v>
      </c>
      <c r="D208" s="20" t="s">
        <v>283</v>
      </c>
      <c r="E208" s="20" t="s">
        <v>43</v>
      </c>
      <c r="F208" s="20" t="s">
        <v>41</v>
      </c>
      <c r="G208" s="20" t="s">
        <v>21</v>
      </c>
      <c r="H208" s="20" t="s">
        <v>89</v>
      </c>
      <c r="I208" s="20" t="s">
        <v>57</v>
      </c>
      <c r="K208" s="20" t="s">
        <v>10</v>
      </c>
      <c r="L208" s="43"/>
    </row>
    <row r="209" spans="1:20" s="20" customFormat="1">
      <c r="A209" s="20" t="s">
        <v>212</v>
      </c>
      <c r="B209" s="20" t="s">
        <v>251</v>
      </c>
      <c r="C209" s="43" t="s">
        <v>42</v>
      </c>
      <c r="D209" s="20" t="s">
        <v>574</v>
      </c>
      <c r="E209" s="20" t="s">
        <v>575</v>
      </c>
      <c r="F209" s="20" t="s">
        <v>41</v>
      </c>
      <c r="G209" s="20" t="s">
        <v>21</v>
      </c>
      <c r="H209" s="20" t="s">
        <v>89</v>
      </c>
      <c r="I209" s="20" t="s">
        <v>57</v>
      </c>
      <c r="K209" s="20" t="s">
        <v>10</v>
      </c>
      <c r="L209" s="43"/>
    </row>
    <row r="210" spans="1:20">
      <c r="A210" s="20" t="s">
        <v>213</v>
      </c>
      <c r="B210" s="20" t="s">
        <v>251</v>
      </c>
      <c r="C210" s="43" t="s">
        <v>42</v>
      </c>
      <c r="D210" s="20" t="s">
        <v>120</v>
      </c>
      <c r="E210" s="20" t="s">
        <v>43</v>
      </c>
      <c r="F210" s="20" t="s">
        <v>41</v>
      </c>
      <c r="G210" s="20" t="s">
        <v>21</v>
      </c>
      <c r="H210" s="20" t="s">
        <v>89</v>
      </c>
      <c r="I210" s="20" t="s">
        <v>57</v>
      </c>
      <c r="J210" s="20"/>
      <c r="K210" s="20" t="s">
        <v>10</v>
      </c>
      <c r="L210" s="43"/>
      <c r="M210" s="20"/>
      <c r="N210" s="20"/>
      <c r="O210" s="20"/>
      <c r="P210" s="20"/>
      <c r="Q210" s="20"/>
      <c r="R210" s="20"/>
      <c r="S210" s="20"/>
      <c r="T210" s="20"/>
    </row>
    <row r="211" spans="1:20" s="20" customFormat="1">
      <c r="A211" s="20" t="s">
        <v>214</v>
      </c>
      <c r="B211" s="20" t="s">
        <v>55</v>
      </c>
      <c r="C211" s="43" t="s">
        <v>7</v>
      </c>
      <c r="D211" s="20" t="s">
        <v>41</v>
      </c>
      <c r="E211" s="20" t="s">
        <v>21</v>
      </c>
      <c r="F211" s="20" t="s">
        <v>61</v>
      </c>
      <c r="H211" s="20" t="s">
        <v>9</v>
      </c>
      <c r="I211" s="20" t="s">
        <v>56</v>
      </c>
      <c r="L211" s="43" t="s">
        <v>42</v>
      </c>
      <c r="M211" s="20" t="s">
        <v>576</v>
      </c>
      <c r="N211" s="20" t="s">
        <v>575</v>
      </c>
      <c r="O211" s="20" t="s">
        <v>41</v>
      </c>
      <c r="P211" s="20" t="s">
        <v>21</v>
      </c>
      <c r="Q211" s="20" t="s">
        <v>502</v>
      </c>
      <c r="R211" s="20" t="s">
        <v>57</v>
      </c>
      <c r="T211" s="20" t="s">
        <v>10</v>
      </c>
    </row>
    <row r="212" spans="1:20" s="20" customFormat="1">
      <c r="A212" s="20" t="s">
        <v>983</v>
      </c>
      <c r="B212" s="20" t="s">
        <v>899</v>
      </c>
      <c r="C212" s="43" t="s">
        <v>42</v>
      </c>
      <c r="D212" s="20" t="s">
        <v>905</v>
      </c>
      <c r="E212" s="20" t="s">
        <v>91</v>
      </c>
      <c r="F212" s="20" t="s">
        <v>41</v>
      </c>
      <c r="G212" s="20" t="s">
        <v>21</v>
      </c>
      <c r="H212" s="20" t="s">
        <v>897</v>
      </c>
      <c r="I212" s="20" t="s">
        <v>57</v>
      </c>
      <c r="K212" s="20" t="s">
        <v>10</v>
      </c>
      <c r="L212" s="43"/>
    </row>
    <row r="213" spans="1:20" s="20" customFormat="1">
      <c r="A213" s="20" t="s">
        <v>984</v>
      </c>
      <c r="B213" s="20" t="s">
        <v>899</v>
      </c>
      <c r="C213" s="43" t="s">
        <v>42</v>
      </c>
      <c r="D213" s="20" t="s">
        <v>904</v>
      </c>
      <c r="E213" s="20" t="s">
        <v>43</v>
      </c>
      <c r="F213" s="20" t="s">
        <v>41</v>
      </c>
      <c r="G213" s="20" t="s">
        <v>21</v>
      </c>
      <c r="H213" s="20" t="s">
        <v>897</v>
      </c>
      <c r="I213" s="20" t="s">
        <v>57</v>
      </c>
      <c r="K213" s="20" t="s">
        <v>10</v>
      </c>
      <c r="L213" s="43"/>
    </row>
    <row r="214" spans="1:20" s="20" customFormat="1">
      <c r="A214" s="20" t="s">
        <v>985</v>
      </c>
      <c r="B214" s="20" t="s">
        <v>899</v>
      </c>
      <c r="C214" s="43" t="s">
        <v>29</v>
      </c>
      <c r="D214" s="20" t="s">
        <v>901</v>
      </c>
      <c r="E214" s="20" t="s">
        <v>900</v>
      </c>
      <c r="F214" s="20" t="s">
        <v>41</v>
      </c>
      <c r="G214" s="20" t="s">
        <v>21</v>
      </c>
      <c r="H214" s="20" t="s">
        <v>897</v>
      </c>
      <c r="I214" s="20" t="s">
        <v>50</v>
      </c>
      <c r="K214" s="20" t="s">
        <v>10</v>
      </c>
      <c r="L214" s="43"/>
    </row>
    <row r="215" spans="1:20" s="20" customFormat="1">
      <c r="A215" s="20" t="s">
        <v>986</v>
      </c>
      <c r="B215" s="20" t="s">
        <v>899</v>
      </c>
      <c r="C215" s="43" t="s">
        <v>29</v>
      </c>
      <c r="D215" s="20" t="s">
        <v>902</v>
      </c>
      <c r="E215" s="20" t="s">
        <v>903</v>
      </c>
      <c r="F215" s="20" t="s">
        <v>41</v>
      </c>
      <c r="G215" s="20" t="s">
        <v>21</v>
      </c>
      <c r="H215" s="20" t="s">
        <v>897</v>
      </c>
      <c r="I215" s="20" t="s">
        <v>50</v>
      </c>
      <c r="K215" s="20" t="s">
        <v>10</v>
      </c>
      <c r="L215" s="43"/>
    </row>
    <row r="216" spans="1:20" s="20" customFormat="1">
      <c r="A216" s="20" t="s">
        <v>987</v>
      </c>
      <c r="B216" s="20" t="s">
        <v>52</v>
      </c>
      <c r="C216" s="43" t="s">
        <v>82</v>
      </c>
      <c r="D216" s="20" t="s">
        <v>898</v>
      </c>
      <c r="E216" s="20" t="s">
        <v>227</v>
      </c>
      <c r="F216" s="20" t="s">
        <v>41</v>
      </c>
      <c r="G216" s="20" t="s">
        <v>21</v>
      </c>
      <c r="H216" s="20" t="s">
        <v>897</v>
      </c>
      <c r="K216" s="20" t="s">
        <v>10</v>
      </c>
      <c r="L216" s="43"/>
    </row>
    <row r="217" spans="1:20" s="20" customFormat="1">
      <c r="A217" s="20" t="s">
        <v>988</v>
      </c>
      <c r="B217" s="20" t="s">
        <v>52</v>
      </c>
      <c r="C217" s="43" t="s">
        <v>29</v>
      </c>
      <c r="D217" s="20" t="s">
        <v>1023</v>
      </c>
      <c r="E217" s="20" t="s">
        <v>1024</v>
      </c>
      <c r="F217" s="20" t="s">
        <v>41</v>
      </c>
      <c r="G217" s="20" t="s">
        <v>21</v>
      </c>
      <c r="H217" s="20" t="s">
        <v>89</v>
      </c>
      <c r="I217" s="20" t="s">
        <v>50</v>
      </c>
      <c r="K217" s="20" t="s">
        <v>10</v>
      </c>
      <c r="L217" s="43"/>
    </row>
    <row r="218" spans="1:20">
      <c r="A218" s="19" t="s">
        <v>989</v>
      </c>
      <c r="F218" s="19" t="s">
        <v>41</v>
      </c>
      <c r="G218" s="19" t="s">
        <v>21</v>
      </c>
      <c r="K218" s="20" t="s">
        <v>10</v>
      </c>
    </row>
    <row r="219" spans="1:20">
      <c r="A219" s="19" t="s">
        <v>990</v>
      </c>
      <c r="F219" s="19" t="s">
        <v>41</v>
      </c>
      <c r="G219" s="19" t="s">
        <v>21</v>
      </c>
      <c r="K219" s="20" t="s">
        <v>10</v>
      </c>
    </row>
    <row r="220" spans="1:20" s="20" customFormat="1">
      <c r="A220" s="20" t="s">
        <v>991</v>
      </c>
      <c r="B220" s="20" t="s">
        <v>86</v>
      </c>
      <c r="C220" s="43" t="s">
        <v>29</v>
      </c>
      <c r="D220" s="20" t="s">
        <v>862</v>
      </c>
      <c r="E220" s="20" t="s">
        <v>863</v>
      </c>
      <c r="F220" s="20" t="s">
        <v>41</v>
      </c>
      <c r="G220" s="20" t="s">
        <v>21</v>
      </c>
      <c r="H220" s="20" t="s">
        <v>87</v>
      </c>
      <c r="I220" s="20" t="s">
        <v>50</v>
      </c>
      <c r="K220" s="20" t="s">
        <v>10</v>
      </c>
      <c r="L220" s="43"/>
    </row>
    <row r="221" spans="1:20" s="20" customFormat="1">
      <c r="A221" s="20" t="s">
        <v>992</v>
      </c>
      <c r="B221" s="20" t="s">
        <v>52</v>
      </c>
      <c r="C221" s="43" t="s">
        <v>29</v>
      </c>
      <c r="D221" s="20" t="s">
        <v>51</v>
      </c>
      <c r="E221" s="20" t="s">
        <v>870</v>
      </c>
      <c r="F221" s="20" t="s">
        <v>41</v>
      </c>
      <c r="G221" s="20" t="s">
        <v>21</v>
      </c>
      <c r="H221" s="20" t="s">
        <v>90</v>
      </c>
      <c r="I221" s="20" t="s">
        <v>50</v>
      </c>
      <c r="K221" s="20" t="s">
        <v>10</v>
      </c>
      <c r="L221" s="43"/>
    </row>
    <row r="222" spans="1:20">
      <c r="A222" s="39" t="s">
        <v>215</v>
      </c>
      <c r="B222" s="39" t="s">
        <v>86</v>
      </c>
      <c r="C222" s="42" t="s">
        <v>29</v>
      </c>
      <c r="D222" s="39" t="s">
        <v>133</v>
      </c>
      <c r="E222" s="39" t="s">
        <v>92</v>
      </c>
      <c r="F222" s="39" t="s">
        <v>41</v>
      </c>
      <c r="G222" s="39" t="s">
        <v>21</v>
      </c>
      <c r="H222" s="39" t="s">
        <v>87</v>
      </c>
      <c r="I222" s="39" t="s">
        <v>50</v>
      </c>
      <c r="J222" s="39"/>
      <c r="K222" s="39" t="s">
        <v>10</v>
      </c>
      <c r="L222" s="42"/>
      <c r="M222" s="39"/>
      <c r="N222" s="39"/>
      <c r="O222" s="39"/>
      <c r="P222" s="39"/>
      <c r="Q222" s="39"/>
      <c r="R222" s="39"/>
      <c r="S222" s="39"/>
      <c r="T222" s="39"/>
    </row>
    <row r="223" spans="1:20">
      <c r="A223" s="39" t="s">
        <v>216</v>
      </c>
      <c r="B223" s="39" t="s">
        <v>86</v>
      </c>
      <c r="C223" s="42" t="s">
        <v>29</v>
      </c>
      <c r="D223" s="39" t="s">
        <v>135</v>
      </c>
      <c r="E223" s="39" t="s">
        <v>43</v>
      </c>
      <c r="F223" s="39" t="s">
        <v>41</v>
      </c>
      <c r="G223" s="39" t="s">
        <v>21</v>
      </c>
      <c r="H223" s="39" t="s">
        <v>87</v>
      </c>
      <c r="I223" s="39" t="s">
        <v>50</v>
      </c>
      <c r="J223" s="39"/>
      <c r="K223" s="39" t="s">
        <v>10</v>
      </c>
      <c r="L223" s="42"/>
      <c r="M223" s="39"/>
      <c r="N223" s="39"/>
      <c r="O223" s="39"/>
      <c r="P223" s="39"/>
      <c r="Q223" s="39"/>
      <c r="R223" s="39"/>
      <c r="S223" s="39"/>
      <c r="T223" s="39"/>
    </row>
    <row r="224" spans="1:20" s="20" customFormat="1">
      <c r="A224" s="39" t="s">
        <v>217</v>
      </c>
      <c r="B224" s="39" t="s">
        <v>86</v>
      </c>
      <c r="C224" s="42" t="s">
        <v>29</v>
      </c>
      <c r="D224" s="39" t="s">
        <v>276</v>
      </c>
      <c r="E224" s="39" t="s">
        <v>277</v>
      </c>
      <c r="F224" s="39" t="s">
        <v>41</v>
      </c>
      <c r="G224" s="39" t="s">
        <v>21</v>
      </c>
      <c r="H224" s="39" t="s">
        <v>87</v>
      </c>
      <c r="I224" s="39" t="s">
        <v>50</v>
      </c>
      <c r="J224" s="39"/>
      <c r="K224" s="39" t="s">
        <v>10</v>
      </c>
      <c r="L224" s="42"/>
      <c r="M224" s="39"/>
      <c r="N224" s="39"/>
      <c r="O224" s="39"/>
      <c r="P224" s="39"/>
      <c r="Q224" s="39"/>
      <c r="R224" s="39"/>
      <c r="S224" s="39"/>
      <c r="T224" s="39"/>
    </row>
    <row r="225" spans="1:20" s="20" customFormat="1">
      <c r="A225" s="39" t="s">
        <v>218</v>
      </c>
      <c r="B225" s="39" t="s">
        <v>86</v>
      </c>
      <c r="C225" s="42" t="s">
        <v>29</v>
      </c>
      <c r="D225" s="39" t="s">
        <v>480</v>
      </c>
      <c r="E225" s="39" t="s">
        <v>481</v>
      </c>
      <c r="F225" s="39" t="s">
        <v>41</v>
      </c>
      <c r="G225" s="39" t="s">
        <v>21</v>
      </c>
      <c r="H225" s="39" t="s">
        <v>87</v>
      </c>
      <c r="I225" s="39" t="s">
        <v>50</v>
      </c>
      <c r="J225" s="39"/>
      <c r="K225" s="39" t="s">
        <v>10</v>
      </c>
      <c r="L225" s="42"/>
      <c r="M225" s="39"/>
      <c r="N225" s="39"/>
      <c r="O225" s="39"/>
      <c r="P225" s="39"/>
      <c r="Q225" s="39"/>
      <c r="R225" s="39"/>
      <c r="S225" s="39"/>
      <c r="T225" s="39"/>
    </row>
    <row r="226" spans="1:20">
      <c r="A226" s="39" t="s">
        <v>219</v>
      </c>
      <c r="B226" s="39" t="s">
        <v>86</v>
      </c>
      <c r="C226" s="42" t="s">
        <v>29</v>
      </c>
      <c r="D226" s="39" t="s">
        <v>486</v>
      </c>
      <c r="E226" s="39" t="s">
        <v>487</v>
      </c>
      <c r="F226" s="39" t="s">
        <v>41</v>
      </c>
      <c r="G226" s="39" t="s">
        <v>21</v>
      </c>
      <c r="H226" s="39" t="s">
        <v>87</v>
      </c>
      <c r="I226" s="39" t="s">
        <v>50</v>
      </c>
      <c r="J226" s="39"/>
      <c r="K226" s="39" t="s">
        <v>10</v>
      </c>
      <c r="L226" s="42"/>
      <c r="M226" s="39"/>
      <c r="N226" s="39"/>
      <c r="O226" s="39"/>
      <c r="P226" s="39"/>
      <c r="Q226" s="39"/>
      <c r="R226" s="39"/>
      <c r="S226" s="39"/>
      <c r="T226" s="39"/>
    </row>
    <row r="227" spans="1:20" s="20" customFormat="1">
      <c r="A227" s="39" t="s">
        <v>220</v>
      </c>
      <c r="B227" s="39" t="s">
        <v>251</v>
      </c>
      <c r="C227" s="42" t="s">
        <v>29</v>
      </c>
      <c r="D227" s="39" t="s">
        <v>137</v>
      </c>
      <c r="E227" s="39" t="s">
        <v>138</v>
      </c>
      <c r="F227" s="39" t="s">
        <v>41</v>
      </c>
      <c r="G227" s="39" t="s">
        <v>21</v>
      </c>
      <c r="H227" s="39" t="s">
        <v>89</v>
      </c>
      <c r="I227" s="39" t="s">
        <v>50</v>
      </c>
      <c r="J227" s="39"/>
      <c r="K227" s="39" t="s">
        <v>10</v>
      </c>
      <c r="L227" s="42"/>
      <c r="M227" s="39"/>
      <c r="N227" s="39"/>
      <c r="O227" s="39"/>
      <c r="P227" s="39"/>
      <c r="Q227" s="39"/>
      <c r="R227" s="39"/>
      <c r="S227" s="39"/>
      <c r="T227" s="39"/>
    </row>
    <row r="228" spans="1:20" s="20" customFormat="1">
      <c r="A228" s="39" t="s">
        <v>221</v>
      </c>
      <c r="B228" s="39" t="s">
        <v>251</v>
      </c>
      <c r="C228" s="42" t="s">
        <v>29</v>
      </c>
      <c r="D228" s="39" t="s">
        <v>120</v>
      </c>
      <c r="E228" s="39" t="s">
        <v>92</v>
      </c>
      <c r="F228" s="39" t="s">
        <v>41</v>
      </c>
      <c r="G228" s="39" t="s">
        <v>21</v>
      </c>
      <c r="H228" s="39" t="s">
        <v>89</v>
      </c>
      <c r="I228" s="39" t="s">
        <v>50</v>
      </c>
      <c r="K228" s="39" t="s">
        <v>10</v>
      </c>
      <c r="L228" s="42"/>
      <c r="M228" s="39"/>
      <c r="N228" s="39"/>
      <c r="O228" s="39"/>
      <c r="P228" s="39"/>
      <c r="Q228" s="39"/>
      <c r="R228" s="39"/>
      <c r="S228" s="39"/>
      <c r="T228" s="39"/>
    </row>
    <row r="229" spans="1:20">
      <c r="A229" s="39" t="s">
        <v>222</v>
      </c>
      <c r="B229" s="39" t="s">
        <v>363</v>
      </c>
      <c r="C229" s="42" t="s">
        <v>29</v>
      </c>
      <c r="D229" s="39" t="s">
        <v>488</v>
      </c>
      <c r="E229" s="39" t="s">
        <v>489</v>
      </c>
      <c r="F229" s="39" t="s">
        <v>41</v>
      </c>
      <c r="G229" s="39" t="s">
        <v>21</v>
      </c>
      <c r="H229" s="39" t="s">
        <v>89</v>
      </c>
      <c r="I229" s="39" t="s">
        <v>50</v>
      </c>
      <c r="J229" s="39"/>
      <c r="K229" s="39" t="s">
        <v>10</v>
      </c>
      <c r="L229" s="42"/>
      <c r="M229" s="39"/>
      <c r="N229" s="39"/>
      <c r="O229" s="39"/>
      <c r="P229" s="39"/>
      <c r="Q229" s="39"/>
      <c r="R229" s="39"/>
      <c r="S229" s="39"/>
      <c r="T229" s="39"/>
    </row>
    <row r="230" spans="1:20" s="39" customFormat="1">
      <c r="A230" s="39" t="s">
        <v>223</v>
      </c>
      <c r="B230" s="39" t="s">
        <v>363</v>
      </c>
      <c r="C230" s="42" t="s">
        <v>29</v>
      </c>
      <c r="D230" s="39" t="s">
        <v>132</v>
      </c>
      <c r="E230" s="39" t="s">
        <v>92</v>
      </c>
      <c r="F230" s="39" t="s">
        <v>41</v>
      </c>
      <c r="G230" s="39" t="s">
        <v>21</v>
      </c>
      <c r="H230" s="39" t="s">
        <v>88</v>
      </c>
      <c r="I230" s="39" t="s">
        <v>50</v>
      </c>
      <c r="K230" s="39" t="s">
        <v>10</v>
      </c>
      <c r="L230" s="42"/>
    </row>
    <row r="231" spans="1:20" s="39" customFormat="1">
      <c r="A231" s="39" t="s">
        <v>224</v>
      </c>
      <c r="B231" s="39" t="s">
        <v>363</v>
      </c>
      <c r="C231" s="42" t="s">
        <v>29</v>
      </c>
      <c r="D231" s="39" t="s">
        <v>278</v>
      </c>
      <c r="E231" s="39" t="s">
        <v>92</v>
      </c>
      <c r="F231" s="39" t="s">
        <v>41</v>
      </c>
      <c r="G231" s="39" t="s">
        <v>21</v>
      </c>
      <c r="H231" s="39" t="s">
        <v>88</v>
      </c>
      <c r="I231" s="39" t="s">
        <v>50</v>
      </c>
      <c r="K231" s="39" t="s">
        <v>10</v>
      </c>
      <c r="L231" s="42"/>
    </row>
    <row r="232" spans="1:20" s="39" customFormat="1">
      <c r="A232" s="20" t="s">
        <v>313</v>
      </c>
      <c r="B232" s="20" t="s">
        <v>52</v>
      </c>
      <c r="C232" s="43" t="s">
        <v>29</v>
      </c>
      <c r="D232" s="20" t="s">
        <v>51</v>
      </c>
      <c r="E232" s="20" t="s">
        <v>601</v>
      </c>
      <c r="F232" s="20" t="s">
        <v>41</v>
      </c>
      <c r="G232" s="20" t="s">
        <v>21</v>
      </c>
      <c r="H232" s="20" t="s">
        <v>88</v>
      </c>
      <c r="I232" s="20" t="s">
        <v>50</v>
      </c>
      <c r="J232" s="20"/>
      <c r="K232" s="20" t="s">
        <v>10</v>
      </c>
      <c r="L232" s="42"/>
    </row>
    <row r="233" spans="1:20" s="39" customFormat="1">
      <c r="A233" s="20" t="s">
        <v>314</v>
      </c>
      <c r="B233" s="20" t="s">
        <v>52</v>
      </c>
      <c r="C233" s="43" t="s">
        <v>29</v>
      </c>
      <c r="D233" s="20" t="s">
        <v>51</v>
      </c>
      <c r="E233" s="20" t="s">
        <v>602</v>
      </c>
      <c r="F233" s="20" t="s">
        <v>41</v>
      </c>
      <c r="G233" s="20" t="s">
        <v>21</v>
      </c>
      <c r="H233" s="20" t="s">
        <v>88</v>
      </c>
      <c r="I233" s="20" t="s">
        <v>50</v>
      </c>
      <c r="J233" s="20"/>
      <c r="K233" s="20" t="s">
        <v>10</v>
      </c>
      <c r="L233" s="42"/>
    </row>
    <row r="234" spans="1:20" s="39" customFormat="1">
      <c r="A234" s="20" t="s">
        <v>315</v>
      </c>
      <c r="B234" s="20" t="s">
        <v>363</v>
      </c>
      <c r="C234" s="43" t="s">
        <v>29</v>
      </c>
      <c r="D234" s="20" t="s">
        <v>279</v>
      </c>
      <c r="E234" s="20" t="s">
        <v>280</v>
      </c>
      <c r="F234" s="20" t="s">
        <v>41</v>
      </c>
      <c r="G234" s="20" t="s">
        <v>21</v>
      </c>
      <c r="H234" s="20" t="s">
        <v>88</v>
      </c>
      <c r="I234" s="20" t="s">
        <v>50</v>
      </c>
      <c r="J234" s="20"/>
      <c r="K234" s="20" t="s">
        <v>10</v>
      </c>
      <c r="L234" s="43"/>
      <c r="M234" s="20"/>
      <c r="N234" s="20"/>
      <c r="O234" s="20"/>
      <c r="P234" s="20"/>
      <c r="Q234" s="20"/>
      <c r="R234" s="20"/>
      <c r="S234" s="20"/>
      <c r="T234" s="20"/>
    </row>
    <row r="235" spans="1:20" s="39" customFormat="1">
      <c r="A235" s="20" t="s">
        <v>316</v>
      </c>
      <c r="B235" s="20" t="s">
        <v>363</v>
      </c>
      <c r="C235" s="43" t="s">
        <v>29</v>
      </c>
      <c r="D235" s="20" t="s">
        <v>486</v>
      </c>
      <c r="E235" s="20" t="s">
        <v>487</v>
      </c>
      <c r="F235" s="20" t="s">
        <v>41</v>
      </c>
      <c r="G235" s="20" t="s">
        <v>21</v>
      </c>
      <c r="H235" s="20" t="s">
        <v>90</v>
      </c>
      <c r="I235" s="20" t="s">
        <v>50</v>
      </c>
      <c r="J235" s="20"/>
      <c r="K235" s="20" t="s">
        <v>10</v>
      </c>
      <c r="L235" s="43"/>
      <c r="M235" s="20"/>
      <c r="N235" s="20"/>
      <c r="O235" s="20"/>
      <c r="P235" s="20"/>
      <c r="Q235" s="20"/>
      <c r="R235" s="20"/>
      <c r="S235" s="20"/>
      <c r="T235" s="20"/>
    </row>
    <row r="236" spans="1:20" s="39" customFormat="1">
      <c r="A236" s="20" t="s">
        <v>317</v>
      </c>
      <c r="B236" s="20" t="s">
        <v>363</v>
      </c>
      <c r="C236" s="43" t="s">
        <v>29</v>
      </c>
      <c r="D236" s="20" t="s">
        <v>136</v>
      </c>
      <c r="E236" s="20" t="s">
        <v>43</v>
      </c>
      <c r="F236" s="20" t="s">
        <v>41</v>
      </c>
      <c r="G236" s="20" t="s">
        <v>21</v>
      </c>
      <c r="H236" s="20" t="s">
        <v>90</v>
      </c>
      <c r="I236" s="20" t="s">
        <v>50</v>
      </c>
      <c r="J236" s="20"/>
      <c r="K236" s="20" t="s">
        <v>10</v>
      </c>
      <c r="L236" s="43"/>
      <c r="M236" s="20"/>
      <c r="N236" s="20"/>
      <c r="O236" s="20"/>
      <c r="P236" s="20"/>
      <c r="Q236" s="20"/>
      <c r="R236" s="20"/>
      <c r="S236" s="20"/>
      <c r="T236" s="20"/>
    </row>
    <row r="237" spans="1:20" s="39" customFormat="1">
      <c r="A237" s="20" t="s">
        <v>318</v>
      </c>
      <c r="B237" s="20" t="s">
        <v>363</v>
      </c>
      <c r="C237" s="43" t="s">
        <v>29</v>
      </c>
      <c r="D237" s="20" t="s">
        <v>249</v>
      </c>
      <c r="E237" s="20" t="s">
        <v>92</v>
      </c>
      <c r="F237" s="20" t="s">
        <v>41</v>
      </c>
      <c r="G237" s="20" t="s">
        <v>21</v>
      </c>
      <c r="H237" s="20" t="s">
        <v>90</v>
      </c>
      <c r="I237" s="20" t="s">
        <v>50</v>
      </c>
      <c r="J237" s="20"/>
      <c r="K237" s="20" t="s">
        <v>10</v>
      </c>
      <c r="L237" s="43"/>
      <c r="M237" s="20"/>
      <c r="N237" s="20"/>
      <c r="O237" s="20"/>
      <c r="P237" s="20"/>
      <c r="Q237" s="20"/>
      <c r="R237" s="20"/>
      <c r="S237" s="20"/>
      <c r="T237" s="20"/>
    </row>
    <row r="238" spans="1:20" s="39" customFormat="1">
      <c r="A238" s="20" t="s">
        <v>319</v>
      </c>
      <c r="B238" s="20" t="s">
        <v>363</v>
      </c>
      <c r="C238" s="43" t="s">
        <v>29</v>
      </c>
      <c r="D238" s="20" t="s">
        <v>281</v>
      </c>
      <c r="E238" s="20" t="s">
        <v>43</v>
      </c>
      <c r="F238" s="20" t="s">
        <v>41</v>
      </c>
      <c r="G238" s="20" t="s">
        <v>21</v>
      </c>
      <c r="H238" s="20" t="s">
        <v>90</v>
      </c>
      <c r="I238" s="20" t="s">
        <v>50</v>
      </c>
      <c r="J238" s="20"/>
      <c r="K238" s="20" t="s">
        <v>10</v>
      </c>
      <c r="L238" s="43"/>
      <c r="M238" s="20"/>
      <c r="N238" s="20"/>
      <c r="O238" s="20"/>
      <c r="P238" s="20"/>
      <c r="Q238" s="20"/>
      <c r="R238" s="20"/>
      <c r="S238" s="20"/>
      <c r="T238" s="20"/>
    </row>
    <row r="239" spans="1:20" s="39" customFormat="1">
      <c r="A239" s="20" t="s">
        <v>320</v>
      </c>
      <c r="B239" s="20" t="s">
        <v>363</v>
      </c>
      <c r="C239" s="43" t="s">
        <v>29</v>
      </c>
      <c r="D239" s="20" t="s">
        <v>484</v>
      </c>
      <c r="E239" s="20" t="s">
        <v>485</v>
      </c>
      <c r="F239" s="20" t="s">
        <v>41</v>
      </c>
      <c r="G239" s="20" t="s">
        <v>21</v>
      </c>
      <c r="H239" s="20" t="s">
        <v>90</v>
      </c>
      <c r="I239" s="20" t="s">
        <v>50</v>
      </c>
      <c r="J239" s="20"/>
      <c r="K239" s="20" t="s">
        <v>10</v>
      </c>
      <c r="L239" s="43"/>
      <c r="M239" s="20"/>
      <c r="N239" s="20"/>
      <c r="O239" s="20"/>
      <c r="P239" s="20"/>
      <c r="Q239" s="20"/>
      <c r="R239" s="20"/>
      <c r="S239" s="20"/>
      <c r="T239" s="20"/>
    </row>
    <row r="240" spans="1:20" s="20" customFormat="1">
      <c r="A240" s="20" t="s">
        <v>321</v>
      </c>
      <c r="B240" s="20" t="s">
        <v>363</v>
      </c>
      <c r="C240" s="43" t="s">
        <v>29</v>
      </c>
      <c r="D240" s="20" t="s">
        <v>482</v>
      </c>
      <c r="E240" s="20" t="s">
        <v>483</v>
      </c>
      <c r="F240" s="20" t="s">
        <v>41</v>
      </c>
      <c r="G240" s="20" t="s">
        <v>21</v>
      </c>
      <c r="H240" s="20" t="s">
        <v>90</v>
      </c>
      <c r="I240" s="20" t="s">
        <v>50</v>
      </c>
      <c r="K240" s="20" t="s">
        <v>10</v>
      </c>
      <c r="L240" s="43"/>
    </row>
    <row r="241" spans="1:20" s="20" customFormat="1">
      <c r="A241" s="20" t="s">
        <v>322</v>
      </c>
      <c r="B241" s="20" t="s">
        <v>55</v>
      </c>
      <c r="C241" s="43" t="s">
        <v>7</v>
      </c>
      <c r="D241" s="20" t="s">
        <v>41</v>
      </c>
      <c r="E241" s="20" t="s">
        <v>21</v>
      </c>
      <c r="F241" s="20" t="s">
        <v>48</v>
      </c>
      <c r="G241" s="20" t="s">
        <v>623</v>
      </c>
      <c r="H241" s="20" t="s">
        <v>9</v>
      </c>
      <c r="I241" s="20" t="s">
        <v>49</v>
      </c>
      <c r="L241" s="43" t="s">
        <v>29</v>
      </c>
      <c r="M241" s="20" t="s">
        <v>624</v>
      </c>
      <c r="N241" s="20" t="s">
        <v>138</v>
      </c>
      <c r="O241" s="20" t="s">
        <v>41</v>
      </c>
      <c r="P241" s="20" t="s">
        <v>21</v>
      </c>
      <c r="Q241" s="20" t="s">
        <v>502</v>
      </c>
      <c r="R241" s="20" t="s">
        <v>50</v>
      </c>
      <c r="T241" s="20" t="s">
        <v>10</v>
      </c>
    </row>
    <row r="242" spans="1:20" s="20" customFormat="1">
      <c r="A242" s="39" t="s">
        <v>265</v>
      </c>
      <c r="B242" s="39" t="s">
        <v>86</v>
      </c>
      <c r="C242" s="42" t="s">
        <v>7</v>
      </c>
      <c r="D242" s="39" t="s">
        <v>41</v>
      </c>
      <c r="E242" s="39" t="s">
        <v>21</v>
      </c>
      <c r="F242" s="39"/>
      <c r="G242" s="39"/>
      <c r="H242" s="39" t="s">
        <v>9</v>
      </c>
      <c r="I242" s="39" t="s">
        <v>56</v>
      </c>
      <c r="J242" s="39"/>
      <c r="K242" s="39" t="s">
        <v>250</v>
      </c>
      <c r="L242" s="42"/>
      <c r="M242" s="39"/>
      <c r="N242" s="39"/>
      <c r="O242" s="39"/>
      <c r="P242" s="39"/>
      <c r="Q242" s="39"/>
      <c r="R242" s="39"/>
      <c r="S242" s="39"/>
      <c r="T242" s="39"/>
    </row>
    <row r="243" spans="1:20" s="20" customFormat="1">
      <c r="A243" s="39" t="s">
        <v>266</v>
      </c>
      <c r="B243" s="39" t="s">
        <v>52</v>
      </c>
      <c r="C243" s="42" t="s">
        <v>7</v>
      </c>
      <c r="D243" s="39" t="s">
        <v>41</v>
      </c>
      <c r="E243" s="39" t="s">
        <v>21</v>
      </c>
      <c r="F243" s="39"/>
      <c r="G243" s="39"/>
      <c r="H243" s="39" t="s">
        <v>9</v>
      </c>
      <c r="I243" s="39" t="s">
        <v>56</v>
      </c>
      <c r="J243" s="39"/>
      <c r="K243" s="39" t="s">
        <v>250</v>
      </c>
      <c r="L243" s="42"/>
      <c r="M243" s="39"/>
      <c r="N243" s="39"/>
      <c r="O243" s="39"/>
      <c r="P243" s="39"/>
      <c r="Q243" s="39"/>
      <c r="R243" s="39"/>
      <c r="S243" s="39"/>
      <c r="T243" s="39"/>
    </row>
    <row r="244" spans="1:20" s="20" customFormat="1">
      <c r="A244" s="39" t="s">
        <v>267</v>
      </c>
      <c r="B244" s="39" t="s">
        <v>52</v>
      </c>
      <c r="C244" s="42" t="s">
        <v>7</v>
      </c>
      <c r="D244" s="39" t="s">
        <v>41</v>
      </c>
      <c r="E244" s="39" t="s">
        <v>21</v>
      </c>
      <c r="F244" s="39"/>
      <c r="G244" s="39"/>
      <c r="H244" s="39" t="s">
        <v>9</v>
      </c>
      <c r="I244" s="39" t="s">
        <v>56</v>
      </c>
      <c r="J244" s="39"/>
      <c r="K244" s="39" t="s">
        <v>250</v>
      </c>
      <c r="L244" s="42"/>
      <c r="M244" s="39"/>
      <c r="N244" s="39"/>
      <c r="O244" s="39"/>
      <c r="P244" s="39"/>
      <c r="Q244" s="39"/>
      <c r="R244" s="39"/>
      <c r="S244" s="39"/>
      <c r="T244" s="39"/>
    </row>
    <row r="245" spans="1:20" s="20" customFormat="1">
      <c r="A245" s="39" t="s">
        <v>268</v>
      </c>
      <c r="B245" s="39" t="s">
        <v>251</v>
      </c>
      <c r="C245" s="42" t="s">
        <v>7</v>
      </c>
      <c r="D245" s="39" t="s">
        <v>41</v>
      </c>
      <c r="E245" s="39" t="s">
        <v>21</v>
      </c>
      <c r="F245" s="39"/>
      <c r="G245" s="39"/>
      <c r="H245" s="39" t="s">
        <v>9</v>
      </c>
      <c r="I245" s="39" t="s">
        <v>56</v>
      </c>
      <c r="J245" s="39"/>
      <c r="K245" s="39" t="s">
        <v>250</v>
      </c>
      <c r="L245" s="42"/>
      <c r="M245" s="39"/>
      <c r="N245" s="39"/>
      <c r="O245" s="39"/>
      <c r="P245" s="39"/>
      <c r="Q245" s="39"/>
      <c r="R245" s="39"/>
      <c r="S245" s="39"/>
      <c r="T245" s="39"/>
    </row>
    <row r="246" spans="1:20" s="20" customFormat="1">
      <c r="A246" s="39" t="s">
        <v>269</v>
      </c>
      <c r="B246" s="39" t="s">
        <v>5</v>
      </c>
      <c r="C246" s="42" t="s">
        <v>7</v>
      </c>
      <c r="D246" s="39" t="s">
        <v>41</v>
      </c>
      <c r="E246" s="39" t="s">
        <v>21</v>
      </c>
      <c r="F246" s="39"/>
      <c r="G246" s="39"/>
      <c r="H246" s="39" t="s">
        <v>9</v>
      </c>
      <c r="I246" s="39" t="s">
        <v>56</v>
      </c>
      <c r="J246" s="39"/>
      <c r="K246" s="39" t="s">
        <v>250</v>
      </c>
      <c r="L246" s="42"/>
      <c r="M246" s="39"/>
      <c r="N246" s="39"/>
      <c r="O246" s="39"/>
      <c r="P246" s="39"/>
      <c r="Q246" s="39"/>
      <c r="R246" s="39"/>
      <c r="S246" s="39"/>
      <c r="T246" s="39"/>
    </row>
    <row r="247" spans="1:20" s="20" customFormat="1">
      <c r="A247" s="39" t="s">
        <v>270</v>
      </c>
      <c r="B247" s="39" t="s">
        <v>86</v>
      </c>
      <c r="C247" s="42" t="s">
        <v>7</v>
      </c>
      <c r="D247" s="39" t="s">
        <v>41</v>
      </c>
      <c r="E247" s="39" t="s">
        <v>21</v>
      </c>
      <c r="F247" s="39"/>
      <c r="G247" s="39"/>
      <c r="H247" s="39" t="s">
        <v>9</v>
      </c>
      <c r="I247" s="39" t="s">
        <v>49</v>
      </c>
      <c r="J247" s="39"/>
      <c r="K247" s="39" t="s">
        <v>250</v>
      </c>
      <c r="L247" s="42"/>
      <c r="M247" s="39"/>
      <c r="N247" s="39"/>
      <c r="O247" s="39"/>
      <c r="P247" s="39"/>
      <c r="Q247" s="39"/>
      <c r="R247" s="39"/>
      <c r="S247" s="39"/>
      <c r="T247" s="39"/>
    </row>
    <row r="248" spans="1:20">
      <c r="A248" s="39" t="s">
        <v>271</v>
      </c>
      <c r="B248" s="39" t="s">
        <v>52</v>
      </c>
      <c r="C248" s="42" t="s">
        <v>7</v>
      </c>
      <c r="D248" s="39" t="s">
        <v>41</v>
      </c>
      <c r="E248" s="39" t="s">
        <v>21</v>
      </c>
      <c r="F248" s="39"/>
      <c r="G248" s="39"/>
      <c r="H248" s="39" t="s">
        <v>9</v>
      </c>
      <c r="I248" s="39" t="s">
        <v>49</v>
      </c>
      <c r="J248" s="39"/>
      <c r="K248" s="39" t="s">
        <v>250</v>
      </c>
      <c r="L248" s="42"/>
      <c r="M248" s="39"/>
      <c r="N248" s="39"/>
      <c r="O248" s="39"/>
      <c r="P248" s="39"/>
      <c r="Q248" s="39"/>
      <c r="R248" s="39"/>
      <c r="S248" s="39"/>
      <c r="T248" s="39"/>
    </row>
    <row r="249" spans="1:20" s="20" customFormat="1">
      <c r="A249" s="39" t="s">
        <v>272</v>
      </c>
      <c r="B249" s="39" t="s">
        <v>52</v>
      </c>
      <c r="C249" s="42" t="s">
        <v>28</v>
      </c>
      <c r="D249" s="39" t="s">
        <v>473</v>
      </c>
      <c r="E249" s="39" t="s">
        <v>471</v>
      </c>
      <c r="F249" s="39"/>
      <c r="G249" s="39"/>
      <c r="H249" s="39" t="s">
        <v>9</v>
      </c>
      <c r="I249" s="39" t="s">
        <v>31</v>
      </c>
      <c r="J249" s="39"/>
      <c r="K249" s="39"/>
      <c r="L249" s="42" t="s">
        <v>7</v>
      </c>
      <c r="M249" s="39" t="s">
        <v>41</v>
      </c>
      <c r="N249" s="39" t="s">
        <v>21</v>
      </c>
      <c r="O249" s="39" t="s">
        <v>473</v>
      </c>
      <c r="P249" s="39" t="s">
        <v>471</v>
      </c>
      <c r="Q249" s="39" t="s">
        <v>474</v>
      </c>
      <c r="R249" s="39" t="s">
        <v>479</v>
      </c>
      <c r="S249" s="39"/>
      <c r="T249" s="39" t="s">
        <v>10</v>
      </c>
    </row>
    <row r="250" spans="1:20">
      <c r="A250" s="39" t="s">
        <v>273</v>
      </c>
      <c r="B250" s="39" t="s">
        <v>5</v>
      </c>
      <c r="C250" s="42" t="s">
        <v>7</v>
      </c>
      <c r="D250" s="39" t="s">
        <v>41</v>
      </c>
      <c r="E250" s="39" t="s">
        <v>21</v>
      </c>
      <c r="F250" s="39"/>
      <c r="G250" s="39"/>
      <c r="H250" s="39" t="s">
        <v>9</v>
      </c>
      <c r="I250" s="39" t="s">
        <v>49</v>
      </c>
      <c r="J250" s="39"/>
      <c r="K250" s="39" t="s">
        <v>250</v>
      </c>
      <c r="L250" s="42"/>
      <c r="M250" s="39"/>
      <c r="N250" s="39"/>
      <c r="O250" s="39"/>
      <c r="P250" s="39"/>
      <c r="Q250" s="39"/>
      <c r="R250" s="39"/>
      <c r="S250" s="39"/>
      <c r="T250" s="39"/>
    </row>
    <row r="251" spans="1:20" s="39" customFormat="1">
      <c r="A251" s="39" t="s">
        <v>274</v>
      </c>
      <c r="B251" s="39" t="s">
        <v>251</v>
      </c>
      <c r="C251" s="42" t="s">
        <v>7</v>
      </c>
      <c r="D251" s="39" t="s">
        <v>41</v>
      </c>
      <c r="E251" s="39" t="s">
        <v>21</v>
      </c>
      <c r="H251" s="39" t="s">
        <v>9</v>
      </c>
      <c r="I251" s="39" t="s">
        <v>49</v>
      </c>
      <c r="K251" s="39" t="s">
        <v>250</v>
      </c>
      <c r="L251" s="42"/>
    </row>
    <row r="252" spans="1:20" s="20" customFormat="1">
      <c r="A252" s="20" t="s">
        <v>729</v>
      </c>
      <c r="B252" s="20" t="s">
        <v>52</v>
      </c>
      <c r="C252" s="43" t="s">
        <v>7</v>
      </c>
      <c r="D252" s="20" t="s">
        <v>120</v>
      </c>
      <c r="E252" s="20" t="s">
        <v>21</v>
      </c>
      <c r="H252" s="20" t="s">
        <v>9</v>
      </c>
      <c r="I252" s="20" t="s">
        <v>56</v>
      </c>
      <c r="L252" s="43" t="s">
        <v>42</v>
      </c>
      <c r="M252" s="20" t="s">
        <v>283</v>
      </c>
      <c r="N252" s="20" t="s">
        <v>43</v>
      </c>
      <c r="O252" s="20" t="s">
        <v>120</v>
      </c>
      <c r="P252" s="20" t="s">
        <v>21</v>
      </c>
      <c r="Q252" s="20" t="s">
        <v>626</v>
      </c>
      <c r="R252" s="20" t="s">
        <v>57</v>
      </c>
      <c r="T252" s="20" t="s">
        <v>10</v>
      </c>
    </row>
    <row r="253" spans="1:20" s="20" customFormat="1">
      <c r="A253" s="20" t="s">
        <v>730</v>
      </c>
      <c r="B253" s="20" t="s">
        <v>52</v>
      </c>
      <c r="C253" s="43" t="s">
        <v>7</v>
      </c>
      <c r="D253" s="20" t="s">
        <v>120</v>
      </c>
      <c r="E253" s="20" t="s">
        <v>21</v>
      </c>
      <c r="H253" s="20" t="s">
        <v>9</v>
      </c>
      <c r="I253" s="20" t="s">
        <v>56</v>
      </c>
      <c r="L253" s="43" t="s">
        <v>42</v>
      </c>
      <c r="M253" s="20" t="s">
        <v>283</v>
      </c>
      <c r="N253" s="20" t="s">
        <v>43</v>
      </c>
      <c r="O253" s="20" t="s">
        <v>120</v>
      </c>
      <c r="P253" s="20" t="s">
        <v>21</v>
      </c>
      <c r="Q253" s="20" t="s">
        <v>626</v>
      </c>
      <c r="R253" s="20" t="s">
        <v>57</v>
      </c>
      <c r="S253" s="20" t="s">
        <v>636</v>
      </c>
      <c r="T253" s="20" t="s">
        <v>10</v>
      </c>
    </row>
    <row r="254" spans="1:20" s="20" customFormat="1">
      <c r="A254" s="20" t="s">
        <v>731</v>
      </c>
      <c r="B254" s="20" t="s">
        <v>52</v>
      </c>
      <c r="C254" s="43" t="s">
        <v>7</v>
      </c>
      <c r="D254" s="20" t="s">
        <v>120</v>
      </c>
      <c r="E254" s="20" t="s">
        <v>21</v>
      </c>
      <c r="H254" s="20" t="s">
        <v>9</v>
      </c>
      <c r="I254" s="20" t="s">
        <v>56</v>
      </c>
      <c r="L254" s="43" t="s">
        <v>42</v>
      </c>
      <c r="M254" s="20" t="s">
        <v>570</v>
      </c>
      <c r="N254" s="20" t="s">
        <v>92</v>
      </c>
      <c r="O254" s="20" t="s">
        <v>120</v>
      </c>
      <c r="P254" s="20" t="s">
        <v>21</v>
      </c>
      <c r="Q254" s="20" t="s">
        <v>626</v>
      </c>
      <c r="R254" s="20" t="s">
        <v>57</v>
      </c>
      <c r="T254" s="20" t="s">
        <v>10</v>
      </c>
    </row>
    <row r="255" spans="1:20" s="20" customFormat="1">
      <c r="A255" s="20" t="s">
        <v>732</v>
      </c>
      <c r="B255" s="20" t="s">
        <v>52</v>
      </c>
      <c r="C255" s="43" t="s">
        <v>7</v>
      </c>
      <c r="D255" s="20" t="s">
        <v>120</v>
      </c>
      <c r="E255" s="20" t="s">
        <v>21</v>
      </c>
      <c r="H255" s="20" t="s">
        <v>9</v>
      </c>
      <c r="I255" s="20" t="s">
        <v>56</v>
      </c>
      <c r="L255" s="43" t="s">
        <v>42</v>
      </c>
      <c r="M255" s="20" t="s">
        <v>120</v>
      </c>
      <c r="N255" s="20" t="s">
        <v>43</v>
      </c>
      <c r="O255" s="20" t="s">
        <v>120</v>
      </c>
      <c r="P255" s="20" t="s">
        <v>21</v>
      </c>
      <c r="Q255" s="20" t="s">
        <v>626</v>
      </c>
      <c r="R255" s="20" t="s">
        <v>57</v>
      </c>
      <c r="S255" s="20" t="s">
        <v>636</v>
      </c>
      <c r="T255" s="20" t="s">
        <v>10</v>
      </c>
    </row>
    <row r="256" spans="1:20" s="20" customFormat="1">
      <c r="A256" s="20" t="s">
        <v>733</v>
      </c>
      <c r="B256" s="20" t="s">
        <v>52</v>
      </c>
      <c r="C256" s="43" t="s">
        <v>7</v>
      </c>
      <c r="D256" s="20" t="s">
        <v>120</v>
      </c>
      <c r="E256" s="20" t="s">
        <v>21</v>
      </c>
      <c r="H256" s="20" t="s">
        <v>9</v>
      </c>
      <c r="I256" s="20" t="s">
        <v>49</v>
      </c>
      <c r="L256" s="43" t="s">
        <v>29</v>
      </c>
      <c r="M256" s="20" t="s">
        <v>120</v>
      </c>
      <c r="N256" s="20" t="s">
        <v>92</v>
      </c>
      <c r="O256" s="20" t="s">
        <v>120</v>
      </c>
      <c r="P256" s="20" t="s">
        <v>21</v>
      </c>
      <c r="Q256" s="20" t="s">
        <v>626</v>
      </c>
      <c r="R256" s="20" t="s">
        <v>50</v>
      </c>
      <c r="T256" s="20" t="s">
        <v>10</v>
      </c>
    </row>
    <row r="257" spans="1:20" s="20" customFormat="1">
      <c r="A257" s="20" t="s">
        <v>734</v>
      </c>
      <c r="B257" s="20" t="s">
        <v>52</v>
      </c>
      <c r="C257" s="43" t="s">
        <v>7</v>
      </c>
      <c r="D257" s="20" t="s">
        <v>120</v>
      </c>
      <c r="E257" s="20" t="s">
        <v>21</v>
      </c>
      <c r="H257" s="20" t="s">
        <v>9</v>
      </c>
      <c r="I257" s="20" t="s">
        <v>49</v>
      </c>
      <c r="L257" s="43" t="s">
        <v>29</v>
      </c>
      <c r="M257" s="20" t="s">
        <v>120</v>
      </c>
      <c r="N257" s="20" t="s">
        <v>92</v>
      </c>
      <c r="O257" s="20" t="s">
        <v>120</v>
      </c>
      <c r="P257" s="20" t="s">
        <v>21</v>
      </c>
      <c r="Q257" s="20" t="s">
        <v>626</v>
      </c>
      <c r="R257" s="20" t="s">
        <v>50</v>
      </c>
      <c r="S257" s="20" t="s">
        <v>636</v>
      </c>
      <c r="T257" s="20" t="s">
        <v>10</v>
      </c>
    </row>
    <row r="258" spans="1:20" s="20" customFormat="1">
      <c r="A258" s="20" t="s">
        <v>735</v>
      </c>
      <c r="B258" s="20" t="s">
        <v>52</v>
      </c>
      <c r="C258" s="43" t="s">
        <v>7</v>
      </c>
      <c r="D258" s="20" t="s">
        <v>120</v>
      </c>
      <c r="E258" s="20" t="s">
        <v>21</v>
      </c>
      <c r="H258" s="20" t="s">
        <v>9</v>
      </c>
      <c r="I258" s="20" t="s">
        <v>49</v>
      </c>
      <c r="L258" s="43" t="s">
        <v>29</v>
      </c>
      <c r="M258" s="20" t="s">
        <v>137</v>
      </c>
      <c r="N258" s="20" t="s">
        <v>138</v>
      </c>
      <c r="O258" s="20" t="s">
        <v>120</v>
      </c>
      <c r="P258" s="20" t="s">
        <v>21</v>
      </c>
      <c r="Q258" s="20" t="s">
        <v>626</v>
      </c>
      <c r="R258" s="20" t="s">
        <v>50</v>
      </c>
      <c r="T258" s="20" t="s">
        <v>10</v>
      </c>
    </row>
    <row r="259" spans="1:20" s="20" customFormat="1">
      <c r="A259" s="20" t="s">
        <v>736</v>
      </c>
      <c r="B259" s="20" t="s">
        <v>52</v>
      </c>
      <c r="C259" s="43" t="s">
        <v>7</v>
      </c>
      <c r="D259" s="20" t="s">
        <v>120</v>
      </c>
      <c r="E259" s="20" t="s">
        <v>21</v>
      </c>
      <c r="H259" s="20" t="s">
        <v>9</v>
      </c>
      <c r="I259" s="20" t="s">
        <v>49</v>
      </c>
      <c r="L259" s="43" t="s">
        <v>29</v>
      </c>
      <c r="M259" s="20" t="s">
        <v>137</v>
      </c>
      <c r="N259" s="20" t="s">
        <v>138</v>
      </c>
      <c r="O259" s="20" t="s">
        <v>120</v>
      </c>
      <c r="P259" s="20" t="s">
        <v>21</v>
      </c>
      <c r="Q259" s="20" t="s">
        <v>626</v>
      </c>
      <c r="R259" s="20" t="s">
        <v>50</v>
      </c>
      <c r="S259" s="20" t="s">
        <v>636</v>
      </c>
      <c r="T259" s="20" t="s">
        <v>10</v>
      </c>
    </row>
    <row r="260" spans="1:20" s="20" customFormat="1">
      <c r="A260" s="20" t="s">
        <v>737</v>
      </c>
      <c r="B260" s="20" t="s">
        <v>52</v>
      </c>
      <c r="C260" s="43" t="s">
        <v>7</v>
      </c>
      <c r="D260" s="20" t="s">
        <v>120</v>
      </c>
      <c r="E260" s="20" t="s">
        <v>21</v>
      </c>
      <c r="H260" s="20" t="s">
        <v>9</v>
      </c>
      <c r="I260" s="20" t="s">
        <v>49</v>
      </c>
      <c r="L260" s="43" t="s">
        <v>29</v>
      </c>
      <c r="M260" s="20" t="s">
        <v>488</v>
      </c>
      <c r="N260" s="20" t="s">
        <v>489</v>
      </c>
      <c r="O260" s="20" t="s">
        <v>120</v>
      </c>
      <c r="P260" s="20" t="s">
        <v>21</v>
      </c>
      <c r="Q260" s="20" t="s">
        <v>626</v>
      </c>
      <c r="R260" s="20" t="s">
        <v>50</v>
      </c>
      <c r="T260" s="20" t="s">
        <v>10</v>
      </c>
    </row>
    <row r="261" spans="1:20" s="20" customFormat="1">
      <c r="A261" s="20" t="s">
        <v>738</v>
      </c>
      <c r="B261" s="20" t="s">
        <v>52</v>
      </c>
      <c r="C261" s="43" t="s">
        <v>7</v>
      </c>
      <c r="D261" s="20" t="s">
        <v>120</v>
      </c>
      <c r="E261" s="20" t="s">
        <v>21</v>
      </c>
      <c r="H261" s="20" t="s">
        <v>9</v>
      </c>
      <c r="I261" s="20" t="s">
        <v>49</v>
      </c>
      <c r="L261" s="43" t="s">
        <v>29</v>
      </c>
      <c r="M261" s="20" t="s">
        <v>488</v>
      </c>
      <c r="N261" s="20" t="s">
        <v>489</v>
      </c>
      <c r="O261" s="20" t="s">
        <v>120</v>
      </c>
      <c r="P261" s="20" t="s">
        <v>21</v>
      </c>
      <c r="Q261" s="20" t="s">
        <v>626</v>
      </c>
      <c r="R261" s="20" t="s">
        <v>50</v>
      </c>
      <c r="S261" s="20" t="s">
        <v>636</v>
      </c>
      <c r="T261" s="20" t="s">
        <v>10</v>
      </c>
    </row>
    <row r="262" spans="1:20" s="39" customFormat="1">
      <c r="A262" s="39" t="s">
        <v>752</v>
      </c>
      <c r="B262" s="39" t="s">
        <v>55</v>
      </c>
      <c r="C262" s="42" t="s">
        <v>4</v>
      </c>
      <c r="D262" s="39" t="s">
        <v>8</v>
      </c>
      <c r="E262" s="39" t="s">
        <v>201</v>
      </c>
      <c r="F262" s="39" t="s">
        <v>439</v>
      </c>
      <c r="G262" s="39" t="s">
        <v>21</v>
      </c>
      <c r="H262" s="39" t="s">
        <v>454</v>
      </c>
      <c r="L262" s="42" t="s">
        <v>7</v>
      </c>
      <c r="M262" s="39" t="s">
        <v>103</v>
      </c>
      <c r="N262" s="39" t="s">
        <v>21</v>
      </c>
      <c r="O262" s="39" t="s">
        <v>8</v>
      </c>
      <c r="P262" s="39" t="s">
        <v>201</v>
      </c>
      <c r="Q262" s="39" t="s">
        <v>9</v>
      </c>
      <c r="T262" s="39" t="s">
        <v>10</v>
      </c>
    </row>
    <row r="263" spans="1:20" s="39" customFormat="1">
      <c r="A263" s="39" t="s">
        <v>753</v>
      </c>
      <c r="B263" s="39" t="s">
        <v>55</v>
      </c>
      <c r="C263" s="42" t="s">
        <v>82</v>
      </c>
      <c r="D263" s="39" t="s">
        <v>102</v>
      </c>
      <c r="E263" s="39" t="s">
        <v>227</v>
      </c>
      <c r="F263" s="39" t="s">
        <v>439</v>
      </c>
      <c r="G263" s="39" t="s">
        <v>21</v>
      </c>
      <c r="H263" s="39" t="s">
        <v>104</v>
      </c>
      <c r="J263" s="39" t="s">
        <v>78</v>
      </c>
      <c r="L263" s="42" t="s">
        <v>7</v>
      </c>
      <c r="M263" s="39" t="s">
        <v>851</v>
      </c>
      <c r="N263" s="39" t="s">
        <v>26</v>
      </c>
      <c r="O263" s="39" t="s">
        <v>102</v>
      </c>
      <c r="P263" s="39" t="s">
        <v>227</v>
      </c>
      <c r="Q263" s="39" t="s">
        <v>104</v>
      </c>
      <c r="T263" s="39" t="s">
        <v>10</v>
      </c>
    </row>
    <row r="264" spans="1:20" s="39" customFormat="1">
      <c r="A264" s="39" t="s">
        <v>754</v>
      </c>
      <c r="B264" s="39" t="s">
        <v>55</v>
      </c>
      <c r="C264" s="42" t="s">
        <v>82</v>
      </c>
      <c r="D264" s="39" t="s">
        <v>102</v>
      </c>
      <c r="E264" s="39" t="s">
        <v>227</v>
      </c>
      <c r="F264" s="39" t="s">
        <v>439</v>
      </c>
      <c r="G264" s="39" t="s">
        <v>21</v>
      </c>
      <c r="H264" s="39" t="s">
        <v>104</v>
      </c>
      <c r="J264" s="39" t="s">
        <v>78</v>
      </c>
      <c r="L264" s="42" t="s">
        <v>7</v>
      </c>
      <c r="M264" s="39" t="s">
        <v>439</v>
      </c>
      <c r="N264" s="39" t="s">
        <v>21</v>
      </c>
      <c r="O264" s="39" t="s">
        <v>102</v>
      </c>
      <c r="P264" s="39" t="s">
        <v>227</v>
      </c>
      <c r="Q264" s="39" t="s">
        <v>9</v>
      </c>
      <c r="T264" s="39" t="s">
        <v>10</v>
      </c>
    </row>
    <row r="265" spans="1:20" s="39" customFormat="1">
      <c r="A265" s="39" t="s">
        <v>755</v>
      </c>
      <c r="B265" s="39" t="s">
        <v>55</v>
      </c>
      <c r="C265" s="42" t="s">
        <v>82</v>
      </c>
      <c r="D265" s="39" t="s">
        <v>102</v>
      </c>
      <c r="E265" s="39" t="s">
        <v>227</v>
      </c>
      <c r="F265" s="39" t="s">
        <v>439</v>
      </c>
      <c r="G265" s="39" t="s">
        <v>21</v>
      </c>
      <c r="H265" s="39" t="s">
        <v>438</v>
      </c>
      <c r="L265" s="42" t="s">
        <v>7</v>
      </c>
      <c r="M265" s="39" t="s">
        <v>439</v>
      </c>
      <c r="N265" s="39" t="s">
        <v>21</v>
      </c>
      <c r="O265" s="39" t="s">
        <v>102</v>
      </c>
      <c r="P265" s="39" t="s">
        <v>227</v>
      </c>
      <c r="Q265" s="39" t="s">
        <v>438</v>
      </c>
      <c r="T265" s="39" t="s">
        <v>10</v>
      </c>
    </row>
    <row r="266" spans="1:20" s="39" customFormat="1">
      <c r="A266" s="39" t="s">
        <v>756</v>
      </c>
      <c r="B266" s="39" t="s">
        <v>55</v>
      </c>
      <c r="C266" s="42" t="s">
        <v>42</v>
      </c>
      <c r="D266" s="39" t="s">
        <v>740</v>
      </c>
      <c r="E266" s="39" t="s">
        <v>355</v>
      </c>
      <c r="F266" s="39" t="s">
        <v>443</v>
      </c>
      <c r="G266" s="39" t="s">
        <v>227</v>
      </c>
      <c r="H266" s="39" t="s">
        <v>438</v>
      </c>
      <c r="J266" s="39" t="s">
        <v>78</v>
      </c>
      <c r="K266" s="39" t="s">
        <v>763</v>
      </c>
      <c r="L266" s="42" t="s">
        <v>82</v>
      </c>
      <c r="M266" s="39" t="s">
        <v>443</v>
      </c>
      <c r="N266" s="39" t="s">
        <v>227</v>
      </c>
      <c r="O266" s="39" t="s">
        <v>740</v>
      </c>
      <c r="P266" s="39" t="s">
        <v>355</v>
      </c>
      <c r="Q266" s="39" t="s">
        <v>438</v>
      </c>
      <c r="S266" s="39" t="s">
        <v>78</v>
      </c>
      <c r="T266" s="39" t="s">
        <v>10</v>
      </c>
    </row>
    <row r="267" spans="1:20" s="39" customFormat="1">
      <c r="A267" s="39" t="s">
        <v>757</v>
      </c>
      <c r="B267" s="39" t="s">
        <v>55</v>
      </c>
      <c r="C267" s="42" t="s">
        <v>29</v>
      </c>
      <c r="D267" s="39" t="s">
        <v>51</v>
      </c>
      <c r="E267" s="39" t="s">
        <v>225</v>
      </c>
      <c r="F267" s="39" t="s">
        <v>439</v>
      </c>
      <c r="G267" s="39" t="s">
        <v>21</v>
      </c>
      <c r="H267" s="39" t="s">
        <v>438</v>
      </c>
      <c r="K267" s="39" t="s">
        <v>444</v>
      </c>
      <c r="L267" s="42" t="s">
        <v>7</v>
      </c>
      <c r="M267" s="39" t="s">
        <v>103</v>
      </c>
      <c r="N267" s="39" t="s">
        <v>21</v>
      </c>
      <c r="O267" s="39" t="s">
        <v>51</v>
      </c>
      <c r="P267" s="39" t="s">
        <v>225</v>
      </c>
      <c r="Q267" s="39" t="s">
        <v>9</v>
      </c>
      <c r="T267" s="39" t="s">
        <v>10</v>
      </c>
    </row>
    <row r="268" spans="1:20" s="39" customFormat="1">
      <c r="A268" s="39" t="s">
        <v>758</v>
      </c>
      <c r="B268" s="39" t="s">
        <v>55</v>
      </c>
      <c r="C268" s="42" t="s">
        <v>82</v>
      </c>
      <c r="D268" s="39" t="s">
        <v>452</v>
      </c>
      <c r="E268" s="39" t="s">
        <v>227</v>
      </c>
      <c r="F268" s="39" t="s">
        <v>439</v>
      </c>
      <c r="G268" s="39" t="s">
        <v>21</v>
      </c>
      <c r="H268" s="39" t="s">
        <v>438</v>
      </c>
      <c r="J268" s="39" t="s">
        <v>78</v>
      </c>
      <c r="K268" s="39" t="s">
        <v>444</v>
      </c>
      <c r="L268" s="42" t="s">
        <v>7</v>
      </c>
      <c r="M268" s="39" t="s">
        <v>103</v>
      </c>
      <c r="N268" s="39" t="s">
        <v>21</v>
      </c>
      <c r="O268" s="39" t="s">
        <v>452</v>
      </c>
      <c r="P268" s="39" t="s">
        <v>227</v>
      </c>
      <c r="Q268" s="39" t="s">
        <v>9</v>
      </c>
      <c r="T268" s="39" t="s">
        <v>10</v>
      </c>
    </row>
    <row r="269" spans="1:20" s="39" customFormat="1">
      <c r="A269" s="39" t="s">
        <v>759</v>
      </c>
      <c r="B269" s="39" t="s">
        <v>55</v>
      </c>
      <c r="C269" s="42" t="s">
        <v>82</v>
      </c>
      <c r="D269" s="39" t="s">
        <v>443</v>
      </c>
      <c r="E269" s="39" t="s">
        <v>227</v>
      </c>
      <c r="F269" s="39" t="s">
        <v>439</v>
      </c>
      <c r="G269" s="39" t="s">
        <v>21</v>
      </c>
      <c r="H269" s="39" t="s">
        <v>438</v>
      </c>
      <c r="J269" s="39" t="s">
        <v>78</v>
      </c>
      <c r="K269" s="39" t="s">
        <v>444</v>
      </c>
      <c r="L269" s="42" t="s">
        <v>7</v>
      </c>
      <c r="M269" s="39" t="s">
        <v>103</v>
      </c>
      <c r="N269" s="39" t="s">
        <v>21</v>
      </c>
      <c r="O269" s="39" t="s">
        <v>443</v>
      </c>
      <c r="P269" s="39" t="s">
        <v>227</v>
      </c>
      <c r="Q269" s="39" t="s">
        <v>438</v>
      </c>
      <c r="S269" s="39" t="s">
        <v>78</v>
      </c>
      <c r="T269" s="39" t="s">
        <v>10</v>
      </c>
    </row>
    <row r="270" spans="1:20" s="39" customFormat="1">
      <c r="A270" s="39" t="s">
        <v>760</v>
      </c>
      <c r="B270" s="39" t="s">
        <v>55</v>
      </c>
      <c r="C270" s="42" t="s">
        <v>440</v>
      </c>
      <c r="D270" s="39" t="s">
        <v>449</v>
      </c>
      <c r="E270" s="39" t="s">
        <v>442</v>
      </c>
      <c r="F270" s="39" t="s">
        <v>439</v>
      </c>
      <c r="G270" s="39" t="s">
        <v>21</v>
      </c>
      <c r="H270" s="39" t="s">
        <v>438</v>
      </c>
      <c r="K270" s="39" t="s">
        <v>741</v>
      </c>
      <c r="L270" s="42" t="s">
        <v>7</v>
      </c>
      <c r="M270" s="39" t="s">
        <v>103</v>
      </c>
      <c r="N270" s="39" t="s">
        <v>21</v>
      </c>
      <c r="O270" s="39" t="s">
        <v>441</v>
      </c>
      <c r="P270" s="39" t="s">
        <v>442</v>
      </c>
      <c r="Q270" s="39" t="s">
        <v>9</v>
      </c>
      <c r="T270" s="39" t="s">
        <v>10</v>
      </c>
    </row>
    <row r="271" spans="1:20" s="39" customFormat="1">
      <c r="A271" s="39" t="s">
        <v>761</v>
      </c>
      <c r="B271" s="39" t="s">
        <v>55</v>
      </c>
      <c r="C271" s="42" t="s">
        <v>34</v>
      </c>
      <c r="D271" s="39" t="s">
        <v>740</v>
      </c>
      <c r="E271" s="39" t="s">
        <v>200</v>
      </c>
      <c r="F271" s="39" t="s">
        <v>439</v>
      </c>
      <c r="G271" s="39" t="s">
        <v>21</v>
      </c>
      <c r="H271" s="39" t="s">
        <v>438</v>
      </c>
      <c r="J271" s="39" t="s">
        <v>78</v>
      </c>
      <c r="L271" s="42" t="s">
        <v>7</v>
      </c>
      <c r="M271" s="39" t="s">
        <v>103</v>
      </c>
      <c r="N271" s="39" t="s">
        <v>21</v>
      </c>
      <c r="O271" s="39" t="s">
        <v>740</v>
      </c>
      <c r="P271" s="39" t="s">
        <v>200</v>
      </c>
      <c r="Q271" s="39" t="s">
        <v>9</v>
      </c>
      <c r="T271" s="39" t="s">
        <v>10</v>
      </c>
    </row>
    <row r="272" spans="1:20" s="20" customFormat="1">
      <c r="A272" s="20" t="s">
        <v>742</v>
      </c>
      <c r="B272" s="20" t="s">
        <v>5</v>
      </c>
      <c r="C272" s="43" t="s">
        <v>114</v>
      </c>
      <c r="D272" s="20" t="s">
        <v>117</v>
      </c>
      <c r="E272" s="20" t="s">
        <v>231</v>
      </c>
      <c r="F272" s="20" t="s">
        <v>439</v>
      </c>
      <c r="G272" s="20" t="s">
        <v>21</v>
      </c>
      <c r="H272" s="20" t="s">
        <v>739</v>
      </c>
      <c r="K272" s="20" t="s">
        <v>444</v>
      </c>
      <c r="L272" s="43" t="s">
        <v>82</v>
      </c>
      <c r="M272" s="20" t="s">
        <v>446</v>
      </c>
      <c r="N272" s="20" t="s">
        <v>227</v>
      </c>
      <c r="O272" s="20" t="s">
        <v>117</v>
      </c>
      <c r="P272" s="20" t="s">
        <v>231</v>
      </c>
      <c r="Q272" s="20" t="s">
        <v>9</v>
      </c>
      <c r="T272" s="20" t="s">
        <v>10</v>
      </c>
    </row>
    <row r="273" spans="1:20" s="20" customFormat="1">
      <c r="A273" s="20" t="s">
        <v>743</v>
      </c>
      <c r="B273" s="20" t="s">
        <v>5</v>
      </c>
      <c r="C273" s="43" t="s">
        <v>42</v>
      </c>
      <c r="D273" s="20" t="s">
        <v>740</v>
      </c>
      <c r="E273" s="20" t="s">
        <v>355</v>
      </c>
      <c r="F273" s="20" t="s">
        <v>439</v>
      </c>
      <c r="G273" s="20" t="s">
        <v>21</v>
      </c>
      <c r="H273" s="20" t="s">
        <v>739</v>
      </c>
      <c r="K273" s="20" t="s">
        <v>444</v>
      </c>
      <c r="L273" s="43" t="s">
        <v>82</v>
      </c>
      <c r="M273" s="20" t="s">
        <v>446</v>
      </c>
      <c r="N273" s="20" t="s">
        <v>227</v>
      </c>
      <c r="O273" s="20" t="s">
        <v>740</v>
      </c>
      <c r="P273" s="20" t="s">
        <v>355</v>
      </c>
      <c r="Q273" s="20" t="s">
        <v>9</v>
      </c>
      <c r="T273" s="20" t="s">
        <v>10</v>
      </c>
    </row>
    <row r="274" spans="1:20" s="20" customFormat="1">
      <c r="A274" s="20" t="s">
        <v>744</v>
      </c>
      <c r="B274" s="20" t="s">
        <v>5</v>
      </c>
      <c r="C274" s="43" t="s">
        <v>29</v>
      </c>
      <c r="D274" s="20" t="s">
        <v>51</v>
      </c>
      <c r="E274" s="20" t="s">
        <v>225</v>
      </c>
      <c r="F274" s="20" t="s">
        <v>439</v>
      </c>
      <c r="G274" s="20" t="s">
        <v>21</v>
      </c>
      <c r="H274" s="20" t="s">
        <v>739</v>
      </c>
      <c r="K274" s="20" t="s">
        <v>741</v>
      </c>
      <c r="L274" s="43" t="s">
        <v>82</v>
      </c>
      <c r="M274" s="20" t="s">
        <v>446</v>
      </c>
      <c r="N274" s="20" t="s">
        <v>227</v>
      </c>
      <c r="O274" s="20" t="s">
        <v>51</v>
      </c>
      <c r="P274" s="20" t="s">
        <v>225</v>
      </c>
      <c r="Q274" s="20" t="s">
        <v>9</v>
      </c>
      <c r="T274" s="20" t="s">
        <v>10</v>
      </c>
    </row>
    <row r="275" spans="1:20" s="20" customFormat="1">
      <c r="A275" s="20" t="s">
        <v>745</v>
      </c>
      <c r="B275" s="20" t="s">
        <v>5</v>
      </c>
      <c r="C275" s="43" t="s">
        <v>28</v>
      </c>
      <c r="D275" s="20" t="s">
        <v>117</v>
      </c>
      <c r="E275" s="20" t="s">
        <v>118</v>
      </c>
      <c r="F275" s="20" t="s">
        <v>439</v>
      </c>
      <c r="G275" s="20" t="s">
        <v>21</v>
      </c>
      <c r="H275" s="20" t="s">
        <v>739</v>
      </c>
      <c r="K275" s="20" t="s">
        <v>444</v>
      </c>
      <c r="L275" s="43" t="s">
        <v>82</v>
      </c>
      <c r="M275" s="20" t="s">
        <v>446</v>
      </c>
      <c r="N275" s="20" t="s">
        <v>227</v>
      </c>
      <c r="O275" s="20" t="s">
        <v>117</v>
      </c>
      <c r="P275" s="20" t="s">
        <v>118</v>
      </c>
      <c r="Q275" s="20" t="s">
        <v>9</v>
      </c>
      <c r="T275" s="20" t="s">
        <v>10</v>
      </c>
    </row>
    <row r="276" spans="1:20" s="20" customFormat="1">
      <c r="A276" s="20" t="s">
        <v>746</v>
      </c>
      <c r="B276" s="20" t="s">
        <v>5</v>
      </c>
      <c r="C276" s="43" t="s">
        <v>34</v>
      </c>
      <c r="D276" s="20" t="s">
        <v>740</v>
      </c>
      <c r="E276" s="20" t="s">
        <v>200</v>
      </c>
      <c r="F276" s="20" t="s">
        <v>439</v>
      </c>
      <c r="G276" s="20" t="s">
        <v>21</v>
      </c>
      <c r="H276" s="20" t="s">
        <v>739</v>
      </c>
      <c r="L276" s="43" t="s">
        <v>82</v>
      </c>
      <c r="M276" s="20" t="s">
        <v>443</v>
      </c>
      <c r="N276" s="20" t="s">
        <v>227</v>
      </c>
      <c r="O276" s="20" t="s">
        <v>740</v>
      </c>
      <c r="P276" s="20" t="s">
        <v>200</v>
      </c>
      <c r="Q276" s="20" t="s">
        <v>739</v>
      </c>
      <c r="T276" s="20" t="s">
        <v>764</v>
      </c>
    </row>
    <row r="277" spans="1:20" s="20" customFormat="1">
      <c r="A277" s="20" t="s">
        <v>747</v>
      </c>
      <c r="B277" s="20" t="s">
        <v>5</v>
      </c>
      <c r="C277" s="43" t="s">
        <v>82</v>
      </c>
      <c r="D277" s="20" t="s">
        <v>443</v>
      </c>
      <c r="E277" s="20" t="s">
        <v>227</v>
      </c>
      <c r="F277" s="20" t="s">
        <v>439</v>
      </c>
      <c r="G277" s="20" t="s">
        <v>21</v>
      </c>
      <c r="H277" s="20" t="s">
        <v>739</v>
      </c>
      <c r="K277" s="20" t="s">
        <v>762</v>
      </c>
      <c r="L277" s="43"/>
    </row>
    <row r="278" spans="1:20" s="20" customFormat="1">
      <c r="A278" s="20" t="s">
        <v>748</v>
      </c>
      <c r="B278" s="20" t="s">
        <v>5</v>
      </c>
      <c r="C278" s="43" t="s">
        <v>82</v>
      </c>
      <c r="D278" s="20" t="s">
        <v>115</v>
      </c>
      <c r="E278" s="20" t="s">
        <v>227</v>
      </c>
      <c r="H278" s="20" t="s">
        <v>9</v>
      </c>
      <c r="L278" s="43" t="s">
        <v>28</v>
      </c>
      <c r="M278" s="20" t="s">
        <v>117</v>
      </c>
      <c r="N278" s="20" t="s">
        <v>118</v>
      </c>
      <c r="O278" s="20" t="s">
        <v>115</v>
      </c>
      <c r="P278" s="20" t="s">
        <v>227</v>
      </c>
      <c r="Q278" s="20" t="s">
        <v>445</v>
      </c>
      <c r="T278" s="20" t="s">
        <v>10</v>
      </c>
    </row>
    <row r="279" spans="1:20" s="20" customFormat="1">
      <c r="A279" s="20" t="s">
        <v>749</v>
      </c>
      <c r="B279" s="20" t="s">
        <v>5</v>
      </c>
      <c r="C279" s="43" t="s">
        <v>82</v>
      </c>
      <c r="D279" s="20" t="s">
        <v>115</v>
      </c>
      <c r="E279" s="20" t="s">
        <v>227</v>
      </c>
      <c r="H279" s="20" t="s">
        <v>9</v>
      </c>
      <c r="L279" s="43" t="s">
        <v>29</v>
      </c>
      <c r="M279" s="20" t="s">
        <v>51</v>
      </c>
      <c r="N279" s="20" t="s">
        <v>225</v>
      </c>
      <c r="O279" s="20" t="s">
        <v>115</v>
      </c>
      <c r="P279" s="20" t="s">
        <v>227</v>
      </c>
      <c r="Q279" s="20" t="s">
        <v>445</v>
      </c>
      <c r="T279" s="20" t="s">
        <v>444</v>
      </c>
    </row>
    <row r="280" spans="1:20" s="20" customFormat="1">
      <c r="A280" s="20" t="s">
        <v>750</v>
      </c>
      <c r="B280" s="20" t="s">
        <v>5</v>
      </c>
      <c r="C280" s="43" t="s">
        <v>82</v>
      </c>
      <c r="D280" s="20" t="s">
        <v>115</v>
      </c>
      <c r="E280" s="20" t="s">
        <v>227</v>
      </c>
      <c r="H280" s="20" t="s">
        <v>9</v>
      </c>
      <c r="L280" s="43" t="s">
        <v>7</v>
      </c>
      <c r="M280" s="20" t="s">
        <v>103</v>
      </c>
      <c r="N280" s="20" t="s">
        <v>447</v>
      </c>
      <c r="O280" s="20" t="s">
        <v>115</v>
      </c>
      <c r="P280" s="20" t="s">
        <v>227</v>
      </c>
      <c r="Q280" s="20" t="s">
        <v>445</v>
      </c>
      <c r="T280" s="20" t="s">
        <v>10</v>
      </c>
    </row>
    <row r="281" spans="1:20" s="20" customFormat="1">
      <c r="A281" s="20" t="s">
        <v>751</v>
      </c>
      <c r="B281" s="20" t="s">
        <v>5</v>
      </c>
      <c r="C281" s="43" t="s">
        <v>82</v>
      </c>
      <c r="D281" s="20" t="s">
        <v>115</v>
      </c>
      <c r="E281" s="20" t="s">
        <v>227</v>
      </c>
      <c r="H281" s="20" t="s">
        <v>9</v>
      </c>
      <c r="L281" s="43" t="s">
        <v>82</v>
      </c>
      <c r="M281" s="20" t="s">
        <v>446</v>
      </c>
      <c r="N281" s="20" t="s">
        <v>227</v>
      </c>
      <c r="O281" s="20" t="s">
        <v>115</v>
      </c>
      <c r="P281" s="20" t="s">
        <v>227</v>
      </c>
      <c r="Q281" s="20" t="s">
        <v>445</v>
      </c>
      <c r="T281" s="20" t="s">
        <v>448</v>
      </c>
    </row>
    <row r="282" spans="1:20" s="41" customFormat="1">
      <c r="A282" s="41" t="s">
        <v>765</v>
      </c>
      <c r="C282" s="46"/>
      <c r="D282" s="41" t="s">
        <v>775</v>
      </c>
      <c r="L282" s="46"/>
      <c r="M282" s="41" t="s">
        <v>775</v>
      </c>
    </row>
    <row r="283" spans="1:20" s="41" customFormat="1">
      <c r="A283" s="41" t="s">
        <v>766</v>
      </c>
      <c r="C283" s="46"/>
      <c r="D283" s="41" t="s">
        <v>775</v>
      </c>
      <c r="L283" s="46"/>
      <c r="M283" s="41" t="s">
        <v>775</v>
      </c>
    </row>
    <row r="284" spans="1:20" s="41" customFormat="1">
      <c r="A284" s="41" t="s">
        <v>767</v>
      </c>
      <c r="C284" s="46" t="s">
        <v>7</v>
      </c>
      <c r="D284" s="41" t="s">
        <v>775</v>
      </c>
      <c r="L284" s="46" t="s">
        <v>82</v>
      </c>
      <c r="M284" s="41" t="s">
        <v>775</v>
      </c>
    </row>
    <row r="285" spans="1:20" s="41" customFormat="1">
      <c r="A285" s="41" t="s">
        <v>768</v>
      </c>
      <c r="C285" s="46" t="s">
        <v>7</v>
      </c>
      <c r="D285" s="41" t="s">
        <v>775</v>
      </c>
      <c r="L285" s="46" t="s">
        <v>82</v>
      </c>
      <c r="M285" s="41" t="s">
        <v>775</v>
      </c>
    </row>
    <row r="286" spans="1:20" s="41" customFormat="1">
      <c r="A286" s="41" t="s">
        <v>769</v>
      </c>
      <c r="C286" s="46" t="s">
        <v>7</v>
      </c>
      <c r="D286" s="41" t="s">
        <v>775</v>
      </c>
      <c r="L286" s="46" t="s">
        <v>82</v>
      </c>
      <c r="M286" s="41" t="s">
        <v>775</v>
      </c>
    </row>
    <row r="287" spans="1:20" s="41" customFormat="1">
      <c r="A287" s="41" t="s">
        <v>770</v>
      </c>
      <c r="C287" s="46" t="s">
        <v>7</v>
      </c>
      <c r="D287" s="41" t="s">
        <v>775</v>
      </c>
      <c r="L287" s="46" t="s">
        <v>82</v>
      </c>
      <c r="M287" s="41" t="s">
        <v>775</v>
      </c>
    </row>
    <row r="288" spans="1:20" s="41" customFormat="1">
      <c r="A288" s="41" t="s">
        <v>771</v>
      </c>
      <c r="C288" s="46" t="s">
        <v>82</v>
      </c>
      <c r="D288" s="41" t="s">
        <v>775</v>
      </c>
      <c r="L288" s="46" t="s">
        <v>7</v>
      </c>
      <c r="M288" s="41" t="s">
        <v>775</v>
      </c>
    </row>
    <row r="289" spans="1:13" s="41" customFormat="1">
      <c r="A289" s="41" t="s">
        <v>772</v>
      </c>
      <c r="C289" s="46" t="s">
        <v>82</v>
      </c>
      <c r="D289" s="41" t="s">
        <v>775</v>
      </c>
      <c r="L289" s="46" t="s">
        <v>7</v>
      </c>
      <c r="M289" s="41" t="s">
        <v>775</v>
      </c>
    </row>
    <row r="290" spans="1:13" s="41" customFormat="1">
      <c r="A290" s="41" t="s">
        <v>773</v>
      </c>
      <c r="C290" s="46" t="s">
        <v>82</v>
      </c>
      <c r="D290" s="41" t="s">
        <v>775</v>
      </c>
      <c r="L290" s="46" t="s">
        <v>7</v>
      </c>
      <c r="M290" s="41" t="s">
        <v>775</v>
      </c>
    </row>
    <row r="291" spans="1:13" s="41" customFormat="1">
      <c r="A291" s="41" t="s">
        <v>774</v>
      </c>
      <c r="C291" s="46" t="s">
        <v>82</v>
      </c>
      <c r="D291" s="41" t="s">
        <v>775</v>
      </c>
      <c r="L291" s="46" t="s">
        <v>7</v>
      </c>
      <c r="M291" s="41" t="s">
        <v>775</v>
      </c>
    </row>
    <row r="292" spans="1:13" s="20" customFormat="1">
      <c r="A292" s="20" t="s">
        <v>827</v>
      </c>
      <c r="C292" s="43" t="s">
        <v>7</v>
      </c>
      <c r="D292" s="20" t="s">
        <v>103</v>
      </c>
      <c r="E292" s="20" t="s">
        <v>21</v>
      </c>
      <c r="H292" s="20" t="s">
        <v>9</v>
      </c>
      <c r="K292" s="20" t="s">
        <v>250</v>
      </c>
      <c r="L292" s="43"/>
    </row>
    <row r="293" spans="1:13" s="20" customFormat="1">
      <c r="A293" s="20" t="s">
        <v>828</v>
      </c>
      <c r="C293" s="43" t="s">
        <v>82</v>
      </c>
      <c r="D293" s="20" t="s">
        <v>446</v>
      </c>
      <c r="E293" s="20" t="s">
        <v>227</v>
      </c>
      <c r="H293" s="20" t="s">
        <v>9</v>
      </c>
      <c r="K293" s="20" t="s">
        <v>250</v>
      </c>
      <c r="L293" s="43"/>
    </row>
    <row r="294" spans="1:13" s="20" customFormat="1">
      <c r="A294" s="20" t="s">
        <v>829</v>
      </c>
      <c r="C294" s="43" t="s">
        <v>34</v>
      </c>
      <c r="D294" s="20" t="s">
        <v>740</v>
      </c>
      <c r="E294" s="20" t="s">
        <v>200</v>
      </c>
      <c r="H294" s="20" t="s">
        <v>9</v>
      </c>
      <c r="L294" s="43"/>
    </row>
    <row r="295" spans="1:13" s="20" customFormat="1">
      <c r="A295" s="20" t="s">
        <v>830</v>
      </c>
      <c r="C295" s="43" t="s">
        <v>34</v>
      </c>
      <c r="D295" s="20" t="s">
        <v>848</v>
      </c>
      <c r="E295" s="20" t="s">
        <v>200</v>
      </c>
      <c r="H295" s="20" t="s">
        <v>9</v>
      </c>
      <c r="L295" s="43"/>
    </row>
    <row r="296" spans="1:13" s="20" customFormat="1">
      <c r="A296" s="20" t="s">
        <v>831</v>
      </c>
      <c r="C296" s="43" t="s">
        <v>114</v>
      </c>
      <c r="D296" s="20" t="s">
        <v>117</v>
      </c>
      <c r="E296" s="20" t="s">
        <v>231</v>
      </c>
      <c r="H296" s="20" t="s">
        <v>9</v>
      </c>
      <c r="L296" s="43"/>
    </row>
    <row r="297" spans="1:13" s="20" customFormat="1">
      <c r="A297" s="20" t="s">
        <v>832</v>
      </c>
      <c r="C297" s="20" t="s">
        <v>42</v>
      </c>
      <c r="D297" s="20" t="s">
        <v>850</v>
      </c>
      <c r="E297" s="20" t="s">
        <v>355</v>
      </c>
      <c r="H297" s="20" t="s">
        <v>9</v>
      </c>
      <c r="L297" s="43"/>
    </row>
    <row r="298" spans="1:13" s="20" customFormat="1">
      <c r="A298" s="20" t="s">
        <v>833</v>
      </c>
      <c r="C298" s="43" t="s">
        <v>4</v>
      </c>
      <c r="D298" s="20" t="s">
        <v>117</v>
      </c>
      <c r="E298" s="20" t="s">
        <v>201</v>
      </c>
      <c r="H298" s="20" t="s">
        <v>9</v>
      </c>
      <c r="L298" s="43"/>
    </row>
    <row r="299" spans="1:13" s="20" customFormat="1">
      <c r="A299" s="20" t="s">
        <v>834</v>
      </c>
      <c r="C299" s="43" t="s">
        <v>29</v>
      </c>
      <c r="D299" s="20" t="s">
        <v>826</v>
      </c>
      <c r="E299" s="20" t="s">
        <v>225</v>
      </c>
      <c r="H299" s="20" t="s">
        <v>9</v>
      </c>
      <c r="L299" s="43"/>
    </row>
    <row r="300" spans="1:13" s="20" customFormat="1">
      <c r="A300" s="20" t="s">
        <v>835</v>
      </c>
      <c r="C300" s="43" t="s">
        <v>6</v>
      </c>
      <c r="D300" s="20" t="s">
        <v>117</v>
      </c>
      <c r="E300" s="20" t="s">
        <v>359</v>
      </c>
      <c r="H300" s="20" t="s">
        <v>9</v>
      </c>
      <c r="L300" s="43"/>
    </row>
    <row r="301" spans="1:13" s="20" customFormat="1">
      <c r="A301" s="20" t="s">
        <v>836</v>
      </c>
      <c r="C301" s="43" t="s">
        <v>28</v>
      </c>
      <c r="D301" s="20" t="s">
        <v>51</v>
      </c>
      <c r="E301" s="20" t="s">
        <v>849</v>
      </c>
      <c r="H301" s="20" t="s">
        <v>9</v>
      </c>
      <c r="L301" s="43"/>
    </row>
    <row r="302" spans="1:13" s="41" customFormat="1">
      <c r="A302" s="41" t="s">
        <v>837</v>
      </c>
      <c r="C302" s="46" t="s">
        <v>7</v>
      </c>
      <c r="D302" s="41" t="s">
        <v>450</v>
      </c>
      <c r="E302" s="41" t="s">
        <v>451</v>
      </c>
      <c r="H302" s="41" t="s">
        <v>9</v>
      </c>
      <c r="I302" s="41" t="s">
        <v>18</v>
      </c>
      <c r="L302" s="46"/>
    </row>
    <row r="303" spans="1:13" s="41" customFormat="1">
      <c r="A303" s="41" t="s">
        <v>838</v>
      </c>
      <c r="C303" s="46" t="s">
        <v>7</v>
      </c>
      <c r="D303" s="41" t="s">
        <v>450</v>
      </c>
      <c r="E303" s="41" t="s">
        <v>451</v>
      </c>
      <c r="H303" s="41" t="s">
        <v>9</v>
      </c>
      <c r="I303" s="41" t="s">
        <v>18</v>
      </c>
      <c r="L303" s="46"/>
    </row>
    <row r="304" spans="1:13" s="41" customFormat="1">
      <c r="A304" s="41" t="s">
        <v>839</v>
      </c>
      <c r="C304" s="46" t="s">
        <v>7</v>
      </c>
      <c r="D304" s="41" t="s">
        <v>61</v>
      </c>
      <c r="E304" s="41" t="s">
        <v>21</v>
      </c>
      <c r="H304" s="41" t="s">
        <v>9</v>
      </c>
      <c r="I304" s="41" t="s">
        <v>847</v>
      </c>
      <c r="L304" s="46"/>
    </row>
    <row r="305" spans="1:20" s="41" customFormat="1">
      <c r="A305" s="41" t="s">
        <v>840</v>
      </c>
      <c r="C305" s="46" t="s">
        <v>42</v>
      </c>
      <c r="D305" s="41" t="s">
        <v>61</v>
      </c>
      <c r="E305" s="41" t="s">
        <v>355</v>
      </c>
      <c r="H305" s="41" t="s">
        <v>9</v>
      </c>
      <c r="I305" s="41" t="s">
        <v>57</v>
      </c>
      <c r="L305" s="46"/>
    </row>
    <row r="306" spans="1:20" s="41" customFormat="1">
      <c r="A306" s="41" t="s">
        <v>841</v>
      </c>
      <c r="C306" s="46" t="s">
        <v>42</v>
      </c>
      <c r="D306" s="41" t="s">
        <v>61</v>
      </c>
      <c r="E306" s="41" t="s">
        <v>355</v>
      </c>
      <c r="H306" s="41" t="s">
        <v>9</v>
      </c>
      <c r="I306" s="41" t="s">
        <v>57</v>
      </c>
      <c r="L306" s="46"/>
    </row>
    <row r="307" spans="1:20" s="41" customFormat="1">
      <c r="A307" s="41" t="s">
        <v>842</v>
      </c>
      <c r="C307" s="46" t="s">
        <v>29</v>
      </c>
      <c r="D307" s="41" t="s">
        <v>48</v>
      </c>
      <c r="E307" s="41" t="s">
        <v>225</v>
      </c>
      <c r="H307" s="41" t="s">
        <v>9</v>
      </c>
      <c r="I307" s="41" t="s">
        <v>50</v>
      </c>
      <c r="L307" s="46"/>
    </row>
    <row r="308" spans="1:20" s="41" customFormat="1">
      <c r="A308" s="41" t="s">
        <v>843</v>
      </c>
      <c r="C308" s="46" t="s">
        <v>29</v>
      </c>
      <c r="D308" s="41" t="s">
        <v>48</v>
      </c>
      <c r="E308" s="41" t="s">
        <v>225</v>
      </c>
      <c r="H308" s="41" t="s">
        <v>9</v>
      </c>
      <c r="I308" s="41" t="s">
        <v>50</v>
      </c>
      <c r="L308" s="46"/>
    </row>
    <row r="309" spans="1:20" s="41" customFormat="1">
      <c r="A309" s="41" t="s">
        <v>844</v>
      </c>
      <c r="C309" s="46" t="s">
        <v>28</v>
      </c>
      <c r="D309" s="41" t="s">
        <v>48</v>
      </c>
      <c r="E309" s="41" t="s">
        <v>26</v>
      </c>
      <c r="H309" s="41" t="s">
        <v>9</v>
      </c>
      <c r="I309" s="41" t="s">
        <v>384</v>
      </c>
      <c r="L309" s="46"/>
    </row>
    <row r="310" spans="1:20" s="41" customFormat="1">
      <c r="A310" s="41" t="s">
        <v>845</v>
      </c>
      <c r="C310" s="46" t="s">
        <v>28</v>
      </c>
      <c r="D310" s="41" t="s">
        <v>48</v>
      </c>
      <c r="E310" s="41" t="s">
        <v>26</v>
      </c>
      <c r="H310" s="41" t="s">
        <v>9</v>
      </c>
      <c r="I310" s="41" t="s">
        <v>384</v>
      </c>
      <c r="L310" s="46"/>
    </row>
    <row r="311" spans="1:20" s="41" customFormat="1">
      <c r="A311" s="41" t="s">
        <v>846</v>
      </c>
      <c r="C311" s="46" t="s">
        <v>28</v>
      </c>
      <c r="D311" s="41" t="s">
        <v>48</v>
      </c>
      <c r="E311" s="41" t="s">
        <v>26</v>
      </c>
      <c r="H311" s="41" t="s">
        <v>9</v>
      </c>
      <c r="I311" s="41" t="s">
        <v>31</v>
      </c>
      <c r="L311" s="46"/>
    </row>
    <row r="312" spans="1:20" s="20" customFormat="1">
      <c r="A312" s="20" t="s">
        <v>972</v>
      </c>
      <c r="B312" s="20" t="s">
        <v>591</v>
      </c>
      <c r="C312" s="43" t="s">
        <v>7</v>
      </c>
      <c r="D312" s="20" t="s">
        <v>593</v>
      </c>
      <c r="E312" s="20" t="s">
        <v>21</v>
      </c>
      <c r="F312" s="20" t="s">
        <v>594</v>
      </c>
      <c r="G312" s="20" t="s">
        <v>796</v>
      </c>
      <c r="H312" s="20" t="s">
        <v>592</v>
      </c>
      <c r="I312" s="20" t="s">
        <v>49</v>
      </c>
      <c r="L312" s="43" t="s">
        <v>29</v>
      </c>
      <c r="M312" s="20" t="s">
        <v>48</v>
      </c>
      <c r="N312" s="20" t="s">
        <v>43</v>
      </c>
      <c r="O312" s="20" t="s">
        <v>593</v>
      </c>
      <c r="P312" s="20" t="s">
        <v>21</v>
      </c>
      <c r="Q312" s="20" t="s">
        <v>9</v>
      </c>
      <c r="R312" s="20" t="s">
        <v>50</v>
      </c>
      <c r="T312" s="20" t="s">
        <v>10</v>
      </c>
    </row>
    <row r="313" spans="1:20" s="20" customFormat="1">
      <c r="A313" s="20" t="s">
        <v>973</v>
      </c>
      <c r="B313" s="20" t="s">
        <v>591</v>
      </c>
      <c r="C313" s="43" t="s">
        <v>28</v>
      </c>
      <c r="D313" s="40" t="s">
        <v>686</v>
      </c>
      <c r="E313" s="20" t="s">
        <v>26</v>
      </c>
      <c r="F313" s="20" t="s">
        <v>594</v>
      </c>
      <c r="G313" s="20" t="s">
        <v>595</v>
      </c>
      <c r="H313" s="20" t="s">
        <v>592</v>
      </c>
      <c r="I313" s="20" t="s">
        <v>31</v>
      </c>
      <c r="L313" s="43" t="s">
        <v>29</v>
      </c>
      <c r="M313" s="20" t="s">
        <v>48</v>
      </c>
      <c r="N313" s="20" t="s">
        <v>43</v>
      </c>
      <c r="O313" s="20" t="s">
        <v>686</v>
      </c>
      <c r="P313" s="20" t="s">
        <v>26</v>
      </c>
      <c r="Q313" s="20" t="s">
        <v>9</v>
      </c>
      <c r="R313" s="20" t="s">
        <v>30</v>
      </c>
      <c r="T313" s="20" t="s">
        <v>10</v>
      </c>
    </row>
    <row r="314" spans="1:20">
      <c r="A314" s="19" t="s">
        <v>974</v>
      </c>
      <c r="B314" s="19" t="s">
        <v>591</v>
      </c>
      <c r="C314" s="45" t="s">
        <v>28</v>
      </c>
      <c r="D314" s="19" t="s">
        <v>619</v>
      </c>
      <c r="E314" s="19" t="s">
        <v>620</v>
      </c>
      <c r="H314" s="19" t="s">
        <v>592</v>
      </c>
      <c r="I314" s="19" t="s">
        <v>31</v>
      </c>
      <c r="L314" s="45" t="s">
        <v>29</v>
      </c>
      <c r="M314" s="19" t="s">
        <v>48</v>
      </c>
      <c r="N314" s="19" t="s">
        <v>43</v>
      </c>
      <c r="O314" s="19" t="s">
        <v>619</v>
      </c>
      <c r="P314" s="19" t="s">
        <v>620</v>
      </c>
      <c r="Q314" s="19" t="s">
        <v>9</v>
      </c>
      <c r="R314" s="19" t="s">
        <v>30</v>
      </c>
      <c r="T314" s="19" t="s">
        <v>10</v>
      </c>
    </row>
    <row r="315" spans="1:20">
      <c r="A315" s="19" t="s">
        <v>975</v>
      </c>
      <c r="B315" s="19" t="s">
        <v>591</v>
      </c>
      <c r="C315" s="45" t="s">
        <v>28</v>
      </c>
      <c r="D315" s="19" t="s">
        <v>1003</v>
      </c>
      <c r="E315" s="19" t="s">
        <v>1001</v>
      </c>
      <c r="H315" s="19" t="s">
        <v>1002</v>
      </c>
      <c r="I315" s="19" t="s">
        <v>31</v>
      </c>
      <c r="L315" s="45" t="s">
        <v>29</v>
      </c>
      <c r="M315" s="19" t="s">
        <v>48</v>
      </c>
      <c r="N315" s="19" t="s">
        <v>43</v>
      </c>
      <c r="O315" s="19" t="s">
        <v>1004</v>
      </c>
      <c r="P315" s="19" t="s">
        <v>1001</v>
      </c>
      <c r="Q315" s="19" t="s">
        <v>9</v>
      </c>
      <c r="R315" s="19" t="s">
        <v>30</v>
      </c>
    </row>
    <row r="316" spans="1:20">
      <c r="A316" s="19" t="s">
        <v>976</v>
      </c>
    </row>
    <row r="317" spans="1:20">
      <c r="A317" s="19" t="s">
        <v>977</v>
      </c>
    </row>
    <row r="318" spans="1:20">
      <c r="A318" s="19" t="s">
        <v>978</v>
      </c>
    </row>
    <row r="319" spans="1:20">
      <c r="A319" s="19" t="s">
        <v>979</v>
      </c>
    </row>
    <row r="320" spans="1:20">
      <c r="A320" s="19" t="s">
        <v>980</v>
      </c>
      <c r="B320" s="19" t="s">
        <v>38</v>
      </c>
      <c r="C320" s="45" t="s">
        <v>7</v>
      </c>
      <c r="H320" s="19" t="s">
        <v>982</v>
      </c>
      <c r="I320" s="19" t="s">
        <v>49</v>
      </c>
      <c r="L320" s="45" t="s">
        <v>29</v>
      </c>
      <c r="M320" s="19" t="s">
        <v>48</v>
      </c>
      <c r="N320" s="19" t="s">
        <v>662</v>
      </c>
      <c r="Q320" s="19" t="s">
        <v>9</v>
      </c>
      <c r="R320" s="19" t="s">
        <v>50</v>
      </c>
      <c r="T320" s="19" t="s">
        <v>10</v>
      </c>
    </row>
    <row r="321" spans="1:20">
      <c r="A321" s="19" t="s">
        <v>981</v>
      </c>
      <c r="B321" s="19" t="s">
        <v>38</v>
      </c>
      <c r="C321" s="45" t="s">
        <v>7</v>
      </c>
      <c r="D321" s="19" t="s">
        <v>41</v>
      </c>
      <c r="E321" s="19" t="s">
        <v>21</v>
      </c>
      <c r="H321" s="19" t="s">
        <v>661</v>
      </c>
      <c r="I321" s="19" t="s">
        <v>49</v>
      </c>
      <c r="L321" s="45" t="s">
        <v>29</v>
      </c>
      <c r="M321" s="19" t="s">
        <v>48</v>
      </c>
      <c r="N321" s="19" t="s">
        <v>662</v>
      </c>
      <c r="Q321" s="19" t="s">
        <v>9</v>
      </c>
      <c r="R321" s="19" t="s">
        <v>50</v>
      </c>
      <c r="T321" s="19" t="s">
        <v>10</v>
      </c>
    </row>
    <row r="322" spans="1:20" s="20" customFormat="1">
      <c r="A322" s="20" t="s">
        <v>543</v>
      </c>
      <c r="B322" s="20" t="s">
        <v>52</v>
      </c>
      <c r="C322" s="43" t="s">
        <v>28</v>
      </c>
      <c r="D322" s="20" t="s">
        <v>619</v>
      </c>
      <c r="E322" s="20" t="s">
        <v>620</v>
      </c>
      <c r="F322" s="20" t="s">
        <v>48</v>
      </c>
      <c r="H322" s="20" t="s">
        <v>9</v>
      </c>
      <c r="I322" s="20" t="s">
        <v>31</v>
      </c>
      <c r="L322" s="43" t="s">
        <v>29</v>
      </c>
      <c r="M322" s="20" t="s">
        <v>633</v>
      </c>
      <c r="N322" s="20" t="s">
        <v>634</v>
      </c>
      <c r="O322" s="20" t="s">
        <v>619</v>
      </c>
      <c r="P322" s="20" t="s">
        <v>620</v>
      </c>
      <c r="Q322" s="20" t="s">
        <v>635</v>
      </c>
      <c r="R322" s="20" t="s">
        <v>30</v>
      </c>
      <c r="T322" s="20" t="s">
        <v>10</v>
      </c>
    </row>
    <row r="323" spans="1:20" s="20" customFormat="1">
      <c r="A323" s="20" t="s">
        <v>544</v>
      </c>
      <c r="B323" s="19" t="s">
        <v>251</v>
      </c>
      <c r="C323" s="45" t="s">
        <v>823</v>
      </c>
      <c r="D323" s="19" t="s">
        <v>821</v>
      </c>
      <c r="E323" s="19" t="s">
        <v>822</v>
      </c>
      <c r="F323" s="19"/>
      <c r="G323" s="19"/>
      <c r="H323" s="19" t="s">
        <v>637</v>
      </c>
      <c r="I323" s="19" t="s">
        <v>56</v>
      </c>
      <c r="J323" s="19"/>
      <c r="K323" s="19" t="s">
        <v>10</v>
      </c>
      <c r="L323" s="45"/>
      <c r="M323" s="19"/>
      <c r="N323" s="19"/>
      <c r="O323" s="19"/>
      <c r="P323" s="19"/>
      <c r="Q323" s="19"/>
      <c r="R323" s="19"/>
      <c r="S323" s="19"/>
      <c r="T323" s="19"/>
    </row>
    <row r="324" spans="1:20" s="20" customFormat="1">
      <c r="A324" s="20" t="s">
        <v>545</v>
      </c>
      <c r="B324" s="20" t="s">
        <v>638</v>
      </c>
      <c r="C324" s="43" t="s">
        <v>823</v>
      </c>
      <c r="D324" s="20" t="s">
        <v>821</v>
      </c>
      <c r="E324" s="20" t="s">
        <v>822</v>
      </c>
      <c r="F324" s="20" t="s">
        <v>639</v>
      </c>
      <c r="G324" s="20" t="s">
        <v>640</v>
      </c>
      <c r="H324" s="20" t="s">
        <v>641</v>
      </c>
      <c r="I324" s="20" t="s">
        <v>49</v>
      </c>
      <c r="J324" s="20" t="s">
        <v>642</v>
      </c>
      <c r="L324" s="43" t="s">
        <v>29</v>
      </c>
      <c r="M324" s="20" t="s">
        <v>48</v>
      </c>
      <c r="O324" s="20" t="s">
        <v>821</v>
      </c>
      <c r="P324" s="20" t="s">
        <v>822</v>
      </c>
      <c r="Q324" s="20" t="s">
        <v>9</v>
      </c>
      <c r="R324" s="20" t="s">
        <v>50</v>
      </c>
      <c r="T324" s="20" t="s">
        <v>10</v>
      </c>
    </row>
    <row r="325" spans="1:20">
      <c r="A325" s="19" t="s">
        <v>546</v>
      </c>
      <c r="B325" s="20" t="s">
        <v>798</v>
      </c>
      <c r="C325" s="43" t="s">
        <v>7</v>
      </c>
      <c r="D325" s="20" t="s">
        <v>821</v>
      </c>
      <c r="E325" s="20" t="s">
        <v>21</v>
      </c>
      <c r="F325" s="20" t="s">
        <v>799</v>
      </c>
      <c r="G325" s="20" t="s">
        <v>800</v>
      </c>
      <c r="H325" s="20" t="s">
        <v>788</v>
      </c>
      <c r="I325" s="20" t="s">
        <v>56</v>
      </c>
      <c r="J325" s="20"/>
      <c r="K325" s="20"/>
      <c r="L325" s="43" t="s">
        <v>42</v>
      </c>
      <c r="M325" s="20" t="s">
        <v>61</v>
      </c>
      <c r="N325" s="20"/>
      <c r="O325" s="20" t="s">
        <v>821</v>
      </c>
      <c r="P325" s="20" t="s">
        <v>21</v>
      </c>
      <c r="Q325" s="20" t="s">
        <v>9</v>
      </c>
      <c r="R325" s="20" t="s">
        <v>57</v>
      </c>
      <c r="S325" s="20"/>
      <c r="T325" s="20" t="s">
        <v>10</v>
      </c>
    </row>
    <row r="326" spans="1:20">
      <c r="A326" s="19" t="s">
        <v>547</v>
      </c>
      <c r="C326" s="19"/>
      <c r="L326" s="43"/>
      <c r="M326" s="20"/>
      <c r="N326" s="20"/>
      <c r="O326" s="20"/>
      <c r="P326" s="20"/>
      <c r="Q326" s="20"/>
      <c r="R326" s="20"/>
      <c r="S326" s="20"/>
      <c r="T326" s="39"/>
    </row>
    <row r="327" spans="1:20">
      <c r="A327" s="19" t="s">
        <v>548</v>
      </c>
      <c r="B327" s="19" t="s">
        <v>55</v>
      </c>
      <c r="C327" s="45" t="s">
        <v>7</v>
      </c>
      <c r="F327" s="19" t="s">
        <v>1025</v>
      </c>
      <c r="G327" s="19" t="s">
        <v>871</v>
      </c>
      <c r="H327" s="19" t="s">
        <v>347</v>
      </c>
      <c r="I327" s="19" t="s">
        <v>860</v>
      </c>
      <c r="L327" s="45" t="s">
        <v>29</v>
      </c>
      <c r="M327" s="19" t="s">
        <v>48</v>
      </c>
      <c r="Q327" s="19" t="s">
        <v>9</v>
      </c>
      <c r="R327" s="19" t="s">
        <v>859</v>
      </c>
      <c r="T327" s="19" t="s">
        <v>10</v>
      </c>
    </row>
    <row r="328" spans="1:20" s="20" customFormat="1">
      <c r="A328" s="20" t="s">
        <v>549</v>
      </c>
      <c r="B328" s="19" t="s">
        <v>55</v>
      </c>
      <c r="C328" s="45" t="s">
        <v>7</v>
      </c>
      <c r="D328" s="19"/>
      <c r="E328" s="19"/>
      <c r="F328" s="19" t="s">
        <v>1025</v>
      </c>
      <c r="G328" s="19" t="s">
        <v>871</v>
      </c>
      <c r="H328" s="19" t="s">
        <v>347</v>
      </c>
      <c r="I328" s="19" t="s">
        <v>860</v>
      </c>
      <c r="J328" s="19"/>
      <c r="K328" s="19"/>
      <c r="L328" s="45" t="s">
        <v>29</v>
      </c>
      <c r="M328" s="19" t="s">
        <v>48</v>
      </c>
      <c r="N328" s="19"/>
      <c r="O328" s="19"/>
      <c r="P328" s="19"/>
      <c r="Q328" s="19" t="s">
        <v>9</v>
      </c>
      <c r="R328" s="19" t="s">
        <v>859</v>
      </c>
      <c r="S328" s="19"/>
      <c r="T328" s="19" t="s">
        <v>10</v>
      </c>
    </row>
    <row r="329" spans="1:20">
      <c r="A329" s="19" t="s">
        <v>550</v>
      </c>
      <c r="C329" s="19"/>
      <c r="L329" s="19"/>
    </row>
    <row r="330" spans="1:20" s="20" customFormat="1">
      <c r="A330" s="20" t="s">
        <v>551</v>
      </c>
    </row>
    <row r="331" spans="1:20" s="20" customFormat="1">
      <c r="A331" s="20" t="s">
        <v>552</v>
      </c>
    </row>
    <row r="332" spans="1:20">
      <c r="C332" s="19"/>
      <c r="L332" s="19"/>
    </row>
    <row r="333" spans="1:20">
      <c r="C333" s="19"/>
      <c r="L333" s="42"/>
      <c r="M333" s="39"/>
      <c r="N333" s="39"/>
      <c r="O333" s="39"/>
      <c r="P333" s="39"/>
      <c r="Q333" s="39"/>
      <c r="R333" s="39"/>
      <c r="S333" s="39"/>
      <c r="T333" s="39"/>
    </row>
    <row r="334" spans="1:20">
      <c r="B334" s="39"/>
      <c r="C334" s="42"/>
      <c r="D334" s="39"/>
      <c r="E334" s="39"/>
      <c r="F334" s="39"/>
      <c r="G334" s="39"/>
      <c r="H334" s="39"/>
      <c r="I334" s="39"/>
      <c r="J334" s="39"/>
      <c r="K334" s="39"/>
      <c r="L334" s="42"/>
      <c r="M334" s="39"/>
      <c r="N334" s="39"/>
      <c r="O334" s="39"/>
      <c r="P334" s="39"/>
      <c r="Q334" s="39"/>
      <c r="R334" s="39"/>
      <c r="S334" s="39"/>
      <c r="T334" s="39"/>
    </row>
    <row r="335" spans="1:20" s="54" customFormat="1">
      <c r="A335" s="54" t="s">
        <v>687</v>
      </c>
      <c r="B335" s="52" t="s">
        <v>52</v>
      </c>
      <c r="C335" s="53" t="s">
        <v>29</v>
      </c>
      <c r="D335" s="52" t="s">
        <v>1023</v>
      </c>
      <c r="E335" s="52" t="s">
        <v>1024</v>
      </c>
      <c r="F335" s="52" t="s">
        <v>41</v>
      </c>
      <c r="G335" s="52" t="s">
        <v>21</v>
      </c>
      <c r="H335" s="52" t="s">
        <v>89</v>
      </c>
      <c r="I335" s="52" t="s">
        <v>50</v>
      </c>
      <c r="J335" s="52"/>
      <c r="K335" s="52" t="s">
        <v>10</v>
      </c>
      <c r="L335" s="52"/>
      <c r="M335" s="52"/>
      <c r="N335" s="52"/>
      <c r="O335" s="52"/>
      <c r="P335" s="52"/>
      <c r="Q335" s="52"/>
      <c r="R335" s="52"/>
      <c r="S335" s="52"/>
      <c r="T335" s="52"/>
    </row>
    <row r="336" spans="1:20" s="54" customFormat="1">
      <c r="A336" s="54" t="s">
        <v>688</v>
      </c>
      <c r="B336" s="52" t="s">
        <v>52</v>
      </c>
      <c r="C336" s="53" t="s">
        <v>29</v>
      </c>
      <c r="D336" s="52" t="s">
        <v>1023</v>
      </c>
      <c r="E336" s="52" t="s">
        <v>1024</v>
      </c>
      <c r="F336" s="52" t="s">
        <v>41</v>
      </c>
      <c r="G336" s="52" t="s">
        <v>21</v>
      </c>
      <c r="H336" s="52" t="s">
        <v>89</v>
      </c>
      <c r="I336" s="52" t="s">
        <v>50</v>
      </c>
      <c r="J336" s="52"/>
      <c r="K336" s="52" t="s">
        <v>10</v>
      </c>
      <c r="L336" s="52"/>
      <c r="M336" s="52"/>
      <c r="N336" s="52"/>
      <c r="O336" s="52"/>
      <c r="P336" s="52"/>
      <c r="Q336" s="52"/>
      <c r="R336" s="52"/>
      <c r="S336" s="52"/>
      <c r="T336" s="52"/>
    </row>
    <row r="337" spans="1:20" s="54" customFormat="1">
      <c r="A337" s="54" t="s">
        <v>689</v>
      </c>
      <c r="B337" s="52" t="s">
        <v>52</v>
      </c>
      <c r="C337" s="53" t="s">
        <v>29</v>
      </c>
      <c r="D337" s="52" t="s">
        <v>1023</v>
      </c>
      <c r="E337" s="52" t="s">
        <v>1024</v>
      </c>
      <c r="F337" s="52" t="s">
        <v>41</v>
      </c>
      <c r="G337" s="52" t="s">
        <v>21</v>
      </c>
      <c r="H337" s="52" t="s">
        <v>89</v>
      </c>
      <c r="I337" s="52" t="s">
        <v>50</v>
      </c>
      <c r="J337" s="52"/>
      <c r="K337" s="52" t="s">
        <v>10</v>
      </c>
      <c r="L337" s="52"/>
      <c r="M337" s="52"/>
      <c r="N337" s="52"/>
      <c r="O337" s="52"/>
      <c r="P337" s="52"/>
      <c r="Q337" s="52"/>
      <c r="R337" s="52"/>
      <c r="S337" s="52"/>
      <c r="T337" s="52"/>
    </row>
    <row r="338" spans="1:20" s="54" customFormat="1">
      <c r="A338" s="54" t="s">
        <v>690</v>
      </c>
      <c r="B338" s="52" t="s">
        <v>52</v>
      </c>
      <c r="C338" s="53" t="s">
        <v>29</v>
      </c>
      <c r="D338" s="52" t="s">
        <v>1023</v>
      </c>
      <c r="E338" s="52" t="s">
        <v>1024</v>
      </c>
      <c r="F338" s="52" t="s">
        <v>41</v>
      </c>
      <c r="G338" s="52" t="s">
        <v>21</v>
      </c>
      <c r="H338" s="52" t="s">
        <v>89</v>
      </c>
      <c r="I338" s="52" t="s">
        <v>50</v>
      </c>
      <c r="J338" s="52"/>
      <c r="K338" s="52" t="s">
        <v>10</v>
      </c>
      <c r="L338" s="45"/>
      <c r="M338" s="19"/>
      <c r="N338" s="19"/>
      <c r="O338" s="19"/>
      <c r="P338" s="19"/>
      <c r="Q338" s="19"/>
      <c r="R338" s="19"/>
      <c r="S338" s="39"/>
      <c r="T338" s="20"/>
    </row>
    <row r="339" spans="1:20" s="54" customFormat="1">
      <c r="A339" s="54" t="s">
        <v>691</v>
      </c>
      <c r="B339" s="20"/>
      <c r="C339" s="43"/>
      <c r="D339" s="20"/>
      <c r="E339" s="20"/>
      <c r="F339" s="20"/>
      <c r="G339" s="20"/>
      <c r="H339" s="20"/>
      <c r="I339" s="20"/>
      <c r="J339" s="20"/>
      <c r="K339" s="20"/>
      <c r="L339" s="43"/>
      <c r="M339" s="20"/>
      <c r="N339" s="20"/>
      <c r="O339" s="20"/>
      <c r="P339" s="20"/>
      <c r="Q339" s="20"/>
      <c r="R339" s="20"/>
      <c r="S339" s="20"/>
      <c r="T339" s="20"/>
    </row>
    <row r="340" spans="1:20" s="54" customFormat="1">
      <c r="A340" s="54" t="s">
        <v>692</v>
      </c>
      <c r="B340" s="20"/>
      <c r="C340" s="43"/>
      <c r="D340" s="20"/>
      <c r="E340" s="20"/>
      <c r="F340" s="20"/>
      <c r="G340" s="20"/>
      <c r="H340" s="20"/>
      <c r="I340" s="20"/>
      <c r="J340" s="20"/>
      <c r="K340" s="20"/>
      <c r="L340" s="43"/>
      <c r="M340" s="20"/>
      <c r="N340" s="20"/>
      <c r="O340" s="20"/>
      <c r="P340" s="20"/>
      <c r="Q340" s="20"/>
      <c r="R340" s="20"/>
      <c r="S340" s="20"/>
      <c r="T340" s="20"/>
    </row>
    <row r="341" spans="1:20" s="54" customFormat="1">
      <c r="A341" s="54" t="s">
        <v>693</v>
      </c>
      <c r="B341" s="39"/>
      <c r="C341" s="42"/>
      <c r="D341" s="39"/>
      <c r="E341" s="39"/>
      <c r="F341" s="39"/>
      <c r="G341" s="39"/>
      <c r="H341" s="39"/>
      <c r="I341" s="39"/>
      <c r="J341" s="39"/>
      <c r="K341" s="39"/>
      <c r="L341" s="42"/>
      <c r="M341" s="39"/>
      <c r="N341" s="39"/>
      <c r="O341" s="39"/>
      <c r="P341" s="39"/>
      <c r="Q341" s="39"/>
      <c r="R341" s="39"/>
      <c r="S341" s="39"/>
      <c r="T341" s="39"/>
    </row>
    <row r="342" spans="1:20" s="54" customFormat="1">
      <c r="A342" s="54" t="s">
        <v>694</v>
      </c>
      <c r="B342" s="39"/>
      <c r="C342" s="42"/>
      <c r="D342" s="39"/>
      <c r="E342" s="39"/>
      <c r="F342" s="39"/>
      <c r="G342" s="39"/>
      <c r="H342" s="39"/>
      <c r="I342" s="39"/>
      <c r="J342" s="39"/>
      <c r="K342" s="39"/>
      <c r="L342" s="42"/>
      <c r="M342" s="39"/>
      <c r="N342" s="39"/>
      <c r="O342" s="39"/>
      <c r="P342" s="39"/>
      <c r="Q342" s="39"/>
      <c r="R342" s="39"/>
      <c r="S342" s="39"/>
      <c r="T342" s="39"/>
    </row>
    <row r="343" spans="1:20" s="54" customFormat="1">
      <c r="A343" s="54" t="s">
        <v>695</v>
      </c>
      <c r="B343" s="39"/>
      <c r="C343" s="42"/>
      <c r="D343" s="39"/>
      <c r="E343" s="39"/>
      <c r="F343" s="39"/>
      <c r="G343" s="39"/>
      <c r="H343" s="39"/>
      <c r="I343" s="39"/>
      <c r="J343" s="39"/>
      <c r="K343" s="39"/>
      <c r="L343" s="42"/>
      <c r="M343" s="39"/>
      <c r="N343" s="39"/>
      <c r="O343" s="39"/>
      <c r="P343" s="39"/>
      <c r="Q343" s="39"/>
      <c r="R343" s="39"/>
      <c r="S343" s="39"/>
      <c r="T343" s="39"/>
    </row>
    <row r="344" spans="1:20" s="54" customFormat="1">
      <c r="A344" s="54" t="s">
        <v>696</v>
      </c>
      <c r="B344" s="39"/>
      <c r="C344" s="42"/>
      <c r="D344" s="39"/>
      <c r="E344" s="39"/>
      <c r="F344" s="39"/>
      <c r="G344" s="39"/>
      <c r="H344" s="39"/>
      <c r="I344" s="39"/>
      <c r="J344" s="39"/>
      <c r="K344" s="39"/>
      <c r="L344" s="42"/>
      <c r="M344" s="39"/>
      <c r="N344" s="39"/>
      <c r="O344" s="39"/>
      <c r="P344" s="39"/>
      <c r="Q344" s="39"/>
      <c r="R344" s="39"/>
      <c r="S344" s="39"/>
      <c r="T344" s="39"/>
    </row>
    <row r="345" spans="1:20">
      <c r="B345" s="52"/>
      <c r="C345" s="53"/>
      <c r="D345" s="52"/>
      <c r="E345" s="52"/>
      <c r="F345" s="52"/>
      <c r="G345" s="52"/>
      <c r="H345" s="52"/>
      <c r="I345" s="52"/>
      <c r="J345" s="52"/>
      <c r="K345" s="52"/>
      <c r="L345" s="42"/>
      <c r="M345" s="39"/>
      <c r="N345" s="39"/>
      <c r="O345" s="39"/>
      <c r="P345" s="39"/>
      <c r="Q345" s="39"/>
      <c r="R345" s="39"/>
      <c r="S345" s="39"/>
      <c r="T345" s="39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A6" sqref="A6"/>
    </sheetView>
  </sheetViews>
  <sheetFormatPr defaultRowHeight="15"/>
  <cols>
    <col min="1" max="1" width="16.42578125" bestFit="1" customWidth="1"/>
    <col min="3" max="3" width="36" customWidth="1"/>
    <col min="5" max="5" width="23.7109375" bestFit="1" customWidth="1"/>
  </cols>
  <sheetData>
    <row r="1" spans="1:5">
      <c r="A1" s="29" t="s">
        <v>288</v>
      </c>
      <c r="B1" s="29" t="s">
        <v>289</v>
      </c>
    </row>
    <row r="2" spans="1:5">
      <c r="A2" t="s">
        <v>7</v>
      </c>
      <c r="B2" s="21"/>
      <c r="C2" t="s">
        <v>290</v>
      </c>
      <c r="D2" t="s">
        <v>298</v>
      </c>
      <c r="E2" t="s">
        <v>310</v>
      </c>
    </row>
    <row r="3" spans="1:5">
      <c r="A3" t="s">
        <v>53</v>
      </c>
      <c r="B3" s="22"/>
      <c r="C3" t="s">
        <v>291</v>
      </c>
      <c r="D3" t="s">
        <v>299</v>
      </c>
      <c r="E3" t="s">
        <v>310</v>
      </c>
    </row>
    <row r="4" spans="1:5">
      <c r="A4" t="s">
        <v>465</v>
      </c>
      <c r="B4" s="22"/>
      <c r="D4" t="s">
        <v>299</v>
      </c>
      <c r="E4" t="s">
        <v>310</v>
      </c>
    </row>
    <row r="5" spans="1:5">
      <c r="A5" t="s">
        <v>823</v>
      </c>
      <c r="B5" s="22"/>
      <c r="D5" t="s">
        <v>299</v>
      </c>
      <c r="E5" t="s">
        <v>310</v>
      </c>
    </row>
    <row r="6" spans="1:5">
      <c r="A6" t="s">
        <v>286</v>
      </c>
      <c r="B6" s="22"/>
      <c r="D6" t="s">
        <v>299</v>
      </c>
      <c r="E6" t="s">
        <v>310</v>
      </c>
    </row>
    <row r="7" spans="1:5">
      <c r="A7" t="s">
        <v>287</v>
      </c>
      <c r="B7" s="22"/>
      <c r="D7" t="s">
        <v>299</v>
      </c>
      <c r="E7" t="s">
        <v>310</v>
      </c>
    </row>
    <row r="8" spans="1:5">
      <c r="A8" t="s">
        <v>22</v>
      </c>
      <c r="B8" s="22"/>
      <c r="D8" t="s">
        <v>299</v>
      </c>
      <c r="E8" t="s">
        <v>310</v>
      </c>
    </row>
    <row r="9" spans="1:5">
      <c r="A9" t="s">
        <v>82</v>
      </c>
      <c r="C9" t="s">
        <v>227</v>
      </c>
      <c r="D9" t="s">
        <v>300</v>
      </c>
    </row>
    <row r="10" spans="1:5">
      <c r="A10" t="s">
        <v>34</v>
      </c>
      <c r="B10" s="31"/>
      <c r="C10" t="s">
        <v>200</v>
      </c>
      <c r="D10" t="s">
        <v>307</v>
      </c>
      <c r="E10" t="s">
        <v>311</v>
      </c>
    </row>
    <row r="11" spans="1:5">
      <c r="A11" t="s">
        <v>19</v>
      </c>
      <c r="B11" s="30"/>
      <c r="C11" t="s">
        <v>202</v>
      </c>
      <c r="D11" t="s">
        <v>308</v>
      </c>
      <c r="E11" t="s">
        <v>311</v>
      </c>
    </row>
    <row r="12" spans="1:5">
      <c r="A12" t="s">
        <v>32</v>
      </c>
      <c r="B12" s="32"/>
      <c r="C12" t="s">
        <v>199</v>
      </c>
      <c r="D12" t="s">
        <v>309</v>
      </c>
      <c r="E12" t="s">
        <v>311</v>
      </c>
    </row>
    <row r="13" spans="1:5">
      <c r="A13" t="s">
        <v>114</v>
      </c>
      <c r="B13" s="23"/>
      <c r="C13" t="s">
        <v>296</v>
      </c>
      <c r="D13" t="s">
        <v>301</v>
      </c>
      <c r="E13" t="s">
        <v>312</v>
      </c>
    </row>
    <row r="14" spans="1:5">
      <c r="A14" t="s">
        <v>42</v>
      </c>
      <c r="B14" s="28"/>
      <c r="C14" t="s">
        <v>292</v>
      </c>
      <c r="D14" t="s">
        <v>302</v>
      </c>
      <c r="E14" t="s">
        <v>312</v>
      </c>
    </row>
    <row r="15" spans="1:5">
      <c r="A15" t="s">
        <v>440</v>
      </c>
      <c r="B15" s="27"/>
      <c r="D15" t="s">
        <v>303</v>
      </c>
      <c r="E15" t="s">
        <v>312</v>
      </c>
    </row>
    <row r="16" spans="1:5">
      <c r="A16" t="s">
        <v>4</v>
      </c>
      <c r="B16" s="27"/>
      <c r="C16" t="s">
        <v>297</v>
      </c>
      <c r="D16" t="s">
        <v>303</v>
      </c>
      <c r="E16" t="s">
        <v>312</v>
      </c>
    </row>
    <row r="17" spans="1:5">
      <c r="A17" t="s">
        <v>29</v>
      </c>
      <c r="B17" s="24"/>
      <c r="C17" t="s">
        <v>293</v>
      </c>
      <c r="D17" t="s">
        <v>304</v>
      </c>
      <c r="E17" t="s">
        <v>312</v>
      </c>
    </row>
    <row r="18" spans="1:5">
      <c r="A18" t="s">
        <v>6</v>
      </c>
      <c r="B18" s="25"/>
      <c r="C18" t="s">
        <v>295</v>
      </c>
      <c r="D18" t="s">
        <v>305</v>
      </c>
      <c r="E18" t="s">
        <v>312</v>
      </c>
    </row>
    <row r="19" spans="1:5">
      <c r="A19" t="s">
        <v>28</v>
      </c>
      <c r="B19" s="26"/>
      <c r="C19" t="s">
        <v>294</v>
      </c>
      <c r="D19" t="s">
        <v>306</v>
      </c>
      <c r="E19" t="s">
        <v>312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97"/>
  <sheetViews>
    <sheetView topLeftCell="A61" workbookViewId="0">
      <selection activeCell="G22" sqref="G22"/>
    </sheetView>
  </sheetViews>
  <sheetFormatPr defaultRowHeight="15"/>
  <cols>
    <col min="1" max="1" width="24.85546875" customWidth="1"/>
    <col min="2" max="2" width="4.42578125" bestFit="1" customWidth="1"/>
    <col min="3" max="3" width="4.7109375" bestFit="1" customWidth="1"/>
    <col min="4" max="4" width="5.5703125" bestFit="1" customWidth="1"/>
    <col min="5" max="5" width="3.140625" style="56" customWidth="1"/>
    <col min="6" max="7" width="2" style="56" bestFit="1" customWidth="1"/>
    <col min="8" max="8" width="13.42578125" style="33" bestFit="1" customWidth="1"/>
    <col min="9" max="9" width="11.7109375" bestFit="1" customWidth="1"/>
    <col min="10" max="11" width="1.85546875" customWidth="1"/>
    <col min="12" max="12" width="1.85546875" style="49" customWidth="1"/>
    <col min="13" max="16" width="1.85546875" customWidth="1"/>
  </cols>
  <sheetData>
    <row r="1" spans="1:16" ht="21">
      <c r="A1" s="47" t="s">
        <v>797</v>
      </c>
      <c r="B1" s="48">
        <v>6</v>
      </c>
      <c r="C1" s="50"/>
    </row>
    <row r="3" spans="1:16">
      <c r="A3" s="34" t="s">
        <v>325</v>
      </c>
      <c r="B3" s="34" t="s">
        <v>335</v>
      </c>
      <c r="C3" s="34" t="s">
        <v>336</v>
      </c>
      <c r="D3" s="34" t="s">
        <v>337</v>
      </c>
      <c r="E3" s="57"/>
      <c r="F3" s="57"/>
      <c r="G3" s="57"/>
      <c r="H3" s="44" t="s">
        <v>357</v>
      </c>
      <c r="I3" s="34" t="s">
        <v>353</v>
      </c>
      <c r="J3" s="87" t="s">
        <v>578</v>
      </c>
      <c r="K3" s="87"/>
      <c r="L3" s="87"/>
      <c r="M3" s="87"/>
      <c r="N3" s="87"/>
      <c r="O3" s="87"/>
      <c r="P3" s="87"/>
    </row>
    <row r="4" spans="1:16">
      <c r="J4" t="s">
        <v>791</v>
      </c>
      <c r="K4" t="s">
        <v>792</v>
      </c>
      <c r="L4" s="49" t="s">
        <v>793</v>
      </c>
      <c r="M4" t="s">
        <v>792</v>
      </c>
      <c r="N4" t="s">
        <v>794</v>
      </c>
      <c r="O4" t="s">
        <v>795</v>
      </c>
      <c r="P4" t="s">
        <v>795</v>
      </c>
    </row>
    <row r="5" spans="1:16">
      <c r="A5" t="s">
        <v>326</v>
      </c>
      <c r="B5">
        <v>10</v>
      </c>
      <c r="C5">
        <v>15</v>
      </c>
      <c r="D5">
        <v>100</v>
      </c>
      <c r="E5" s="56">
        <f ca="1">RANDBETWEEN(1,100)</f>
        <v>98</v>
      </c>
      <c r="F5" s="56">
        <f t="shared" ref="F5:F48" ca="1" si="0">IF(E5&gt;D5,0,1)</f>
        <v>1</v>
      </c>
      <c r="G5" s="56">
        <f ca="1">OFFSET(I5, 0, $B$1)*F5</f>
        <v>1</v>
      </c>
      <c r="H5" s="38">
        <f ca="1">(RANDBETWEEN(B5,C5)*G5)</f>
        <v>14</v>
      </c>
      <c r="I5" t="s">
        <v>354</v>
      </c>
      <c r="J5">
        <v>1</v>
      </c>
      <c r="K5">
        <v>1</v>
      </c>
      <c r="L5" s="49">
        <v>1</v>
      </c>
      <c r="M5">
        <v>1</v>
      </c>
      <c r="N5">
        <v>1</v>
      </c>
      <c r="O5">
        <v>1</v>
      </c>
      <c r="P5">
        <v>1</v>
      </c>
    </row>
    <row r="6" spans="1:16">
      <c r="A6" t="s">
        <v>327</v>
      </c>
      <c r="B6">
        <v>4</v>
      </c>
      <c r="C6">
        <v>6</v>
      </c>
      <c r="D6">
        <v>60</v>
      </c>
      <c r="E6" s="56">
        <f ca="1">RANDBETWEEN(1,100)</f>
        <v>98</v>
      </c>
      <c r="F6" s="56">
        <f t="shared" ca="1" si="0"/>
        <v>0</v>
      </c>
      <c r="G6" s="56">
        <f t="shared" ref="G6:G48" ca="1" si="1">OFFSET(I6, 0, $B$1)*F6</f>
        <v>0</v>
      </c>
      <c r="H6" s="38">
        <f t="shared" ref="H6:H8" ca="1" si="2">(RANDBETWEEN(B6,C6)*G6)</f>
        <v>0</v>
      </c>
      <c r="I6" t="s">
        <v>200</v>
      </c>
      <c r="J6">
        <v>1</v>
      </c>
      <c r="K6">
        <v>1</v>
      </c>
      <c r="L6" s="49">
        <v>1</v>
      </c>
      <c r="M6">
        <v>1</v>
      </c>
      <c r="N6">
        <v>1</v>
      </c>
      <c r="O6">
        <v>1</v>
      </c>
      <c r="P6">
        <v>1</v>
      </c>
    </row>
    <row r="7" spans="1:16">
      <c r="A7" t="s">
        <v>328</v>
      </c>
      <c r="B7">
        <v>4</v>
      </c>
      <c r="C7">
        <v>7</v>
      </c>
      <c r="D7" s="36" t="s">
        <v>358</v>
      </c>
      <c r="E7" s="58" t="s">
        <v>358</v>
      </c>
      <c r="F7" s="56">
        <f ca="1">IF(E6&gt;D6,0,1)</f>
        <v>0</v>
      </c>
      <c r="G7" s="56">
        <f t="shared" ca="1" si="1"/>
        <v>0</v>
      </c>
      <c r="H7" s="38">
        <f t="shared" ca="1" si="2"/>
        <v>0</v>
      </c>
      <c r="I7" t="s">
        <v>200</v>
      </c>
      <c r="J7">
        <v>1</v>
      </c>
      <c r="K7">
        <v>1</v>
      </c>
      <c r="L7" s="49">
        <v>1</v>
      </c>
      <c r="M7">
        <v>1</v>
      </c>
      <c r="N7">
        <v>1</v>
      </c>
      <c r="O7">
        <v>1</v>
      </c>
      <c r="P7">
        <v>1</v>
      </c>
    </row>
    <row r="8" spans="1:16">
      <c r="A8" t="s">
        <v>329</v>
      </c>
      <c r="B8">
        <v>0</v>
      </c>
      <c r="C8">
        <v>3</v>
      </c>
      <c r="D8" s="36" t="s">
        <v>358</v>
      </c>
      <c r="E8" s="58" t="s">
        <v>358</v>
      </c>
      <c r="F8" s="56">
        <f ca="1">IF(E6&gt;D6,0,1)</f>
        <v>0</v>
      </c>
      <c r="G8" s="56">
        <f t="shared" ca="1" si="1"/>
        <v>0</v>
      </c>
      <c r="H8" s="38">
        <f t="shared" ca="1" si="2"/>
        <v>0</v>
      </c>
      <c r="I8" t="s">
        <v>200</v>
      </c>
      <c r="J8">
        <v>1</v>
      </c>
      <c r="K8">
        <v>1</v>
      </c>
      <c r="L8" s="49">
        <v>1</v>
      </c>
      <c r="M8">
        <v>1</v>
      </c>
      <c r="N8">
        <v>1</v>
      </c>
      <c r="O8">
        <v>1</v>
      </c>
      <c r="P8">
        <v>1</v>
      </c>
    </row>
    <row r="9" spans="1:16">
      <c r="H9" s="51"/>
    </row>
    <row r="10" spans="1:16">
      <c r="A10" s="34" t="s">
        <v>330</v>
      </c>
      <c r="H10" s="51"/>
    </row>
    <row r="11" spans="1:16">
      <c r="H11" s="51"/>
    </row>
    <row r="12" spans="1:16">
      <c r="A12" t="s">
        <v>331</v>
      </c>
      <c r="B12">
        <v>0</v>
      </c>
      <c r="C12">
        <v>2</v>
      </c>
      <c r="D12">
        <v>100</v>
      </c>
      <c r="E12" s="56">
        <f ca="1">RANDBETWEEN(1,100)</f>
        <v>50</v>
      </c>
      <c r="F12" s="56">
        <f t="shared" ca="1" si="0"/>
        <v>1</v>
      </c>
      <c r="G12" s="56">
        <f t="shared" ca="1" si="1"/>
        <v>1</v>
      </c>
      <c r="H12" s="38">
        <f ca="1">(RANDBETWEEN(B12,C12)*G12)</f>
        <v>0</v>
      </c>
      <c r="I12" t="s">
        <v>355</v>
      </c>
      <c r="J12">
        <v>1</v>
      </c>
      <c r="K12">
        <v>1</v>
      </c>
      <c r="L12" s="49">
        <v>1</v>
      </c>
      <c r="M12">
        <v>1</v>
      </c>
      <c r="N12">
        <v>1</v>
      </c>
      <c r="O12">
        <v>1</v>
      </c>
      <c r="P12">
        <v>1</v>
      </c>
    </row>
    <row r="13" spans="1:16">
      <c r="A13" t="s">
        <v>332</v>
      </c>
      <c r="B13">
        <v>2</v>
      </c>
      <c r="C13">
        <v>4</v>
      </c>
      <c r="D13">
        <v>100</v>
      </c>
      <c r="E13" s="56">
        <f ca="1">RANDBETWEEN(1,100)</f>
        <v>81</v>
      </c>
      <c r="F13" s="56">
        <f t="shared" ca="1" si="0"/>
        <v>1</v>
      </c>
      <c r="G13" s="56">
        <f t="shared" ca="1" si="1"/>
        <v>1</v>
      </c>
      <c r="H13" s="38">
        <f t="shared" ref="H13:H16" ca="1" si="3">(RANDBETWEEN(B13,C13)*G13)</f>
        <v>2</v>
      </c>
      <c r="I13" t="s">
        <v>225</v>
      </c>
      <c r="J13">
        <v>1</v>
      </c>
      <c r="K13">
        <v>1</v>
      </c>
      <c r="L13" s="49">
        <v>1</v>
      </c>
      <c r="M13">
        <v>1</v>
      </c>
      <c r="N13">
        <v>1</v>
      </c>
      <c r="O13">
        <v>1</v>
      </c>
      <c r="P13">
        <v>1</v>
      </c>
    </row>
    <row r="14" spans="1:16">
      <c r="A14" t="s">
        <v>333</v>
      </c>
      <c r="B14">
        <v>1</v>
      </c>
      <c r="C14">
        <v>3</v>
      </c>
      <c r="D14">
        <v>100</v>
      </c>
      <c r="E14" s="56">
        <f ca="1">RANDBETWEEN(1,100)</f>
        <v>98</v>
      </c>
      <c r="F14" s="56">
        <f t="shared" ca="1" si="0"/>
        <v>1</v>
      </c>
      <c r="G14" s="56">
        <f t="shared" ca="1" si="1"/>
        <v>1</v>
      </c>
      <c r="H14" s="38">
        <f t="shared" ca="1" si="3"/>
        <v>1</v>
      </c>
      <c r="I14" t="s">
        <v>354</v>
      </c>
      <c r="J14">
        <v>1</v>
      </c>
      <c r="K14">
        <v>1</v>
      </c>
      <c r="L14" s="49">
        <v>1</v>
      </c>
      <c r="M14">
        <v>1</v>
      </c>
      <c r="N14">
        <v>1</v>
      </c>
      <c r="O14">
        <v>1</v>
      </c>
      <c r="P14">
        <v>1</v>
      </c>
    </row>
    <row r="15" spans="1:16">
      <c r="A15" t="s">
        <v>334</v>
      </c>
      <c r="B15">
        <v>3</v>
      </c>
      <c r="C15">
        <v>5</v>
      </c>
      <c r="D15">
        <v>100</v>
      </c>
      <c r="E15" s="56">
        <f ca="1">RANDBETWEEN(1,100)</f>
        <v>11</v>
      </c>
      <c r="F15" s="56">
        <f t="shared" ca="1" si="0"/>
        <v>1</v>
      </c>
      <c r="G15" s="56">
        <f t="shared" ca="1" si="1"/>
        <v>1</v>
      </c>
      <c r="H15" s="38">
        <f t="shared" ca="1" si="3"/>
        <v>3</v>
      </c>
      <c r="I15" t="s">
        <v>354</v>
      </c>
      <c r="J15">
        <v>1</v>
      </c>
      <c r="K15">
        <v>1</v>
      </c>
      <c r="L15" s="49">
        <v>1</v>
      </c>
      <c r="M15">
        <v>1</v>
      </c>
      <c r="N15">
        <v>1</v>
      </c>
      <c r="O15">
        <v>1</v>
      </c>
      <c r="P15">
        <v>1</v>
      </c>
    </row>
    <row r="16" spans="1:16">
      <c r="A16" t="s">
        <v>120</v>
      </c>
      <c r="B16">
        <v>0</v>
      </c>
      <c r="C16">
        <v>1</v>
      </c>
      <c r="D16">
        <v>20</v>
      </c>
      <c r="E16" s="56">
        <f ca="1">RANDBETWEEN(1,100)</f>
        <v>50</v>
      </c>
      <c r="F16" s="56">
        <f t="shared" ref="F16" ca="1" si="4">IF(E16&gt;D16,0,1)</f>
        <v>0</v>
      </c>
      <c r="G16" s="56">
        <f t="shared" ca="1" si="1"/>
        <v>0</v>
      </c>
      <c r="H16" s="38">
        <f t="shared" ca="1" si="3"/>
        <v>0</v>
      </c>
      <c r="I16" t="s">
        <v>354</v>
      </c>
      <c r="J16">
        <v>1</v>
      </c>
      <c r="K16">
        <v>1</v>
      </c>
      <c r="L16" s="49">
        <v>1</v>
      </c>
      <c r="M16">
        <v>1</v>
      </c>
      <c r="N16">
        <v>1</v>
      </c>
      <c r="O16">
        <v>1</v>
      </c>
      <c r="P16">
        <v>1</v>
      </c>
    </row>
    <row r="17" spans="1:16">
      <c r="H17" s="51"/>
    </row>
    <row r="18" spans="1:16">
      <c r="A18" s="34" t="s">
        <v>13</v>
      </c>
      <c r="H18" s="51"/>
    </row>
    <row r="19" spans="1:16">
      <c r="H19" s="51"/>
    </row>
    <row r="20" spans="1:16">
      <c r="A20" t="s">
        <v>339</v>
      </c>
      <c r="B20">
        <v>3</v>
      </c>
      <c r="C20">
        <v>5</v>
      </c>
      <c r="D20">
        <v>100</v>
      </c>
      <c r="E20" s="56">
        <f t="shared" ref="E20:E27" ca="1" si="5">RANDBETWEEN(1,100)</f>
        <v>2</v>
      </c>
      <c r="F20" s="56">
        <f t="shared" ca="1" si="0"/>
        <v>1</v>
      </c>
      <c r="G20" s="56">
        <f t="shared" ca="1" si="1"/>
        <v>1</v>
      </c>
      <c r="H20" s="38">
        <f ca="1">(RANDBETWEEN(B20,C20)*G20)</f>
        <v>4</v>
      </c>
      <c r="I20" t="s">
        <v>385</v>
      </c>
      <c r="K20">
        <v>1</v>
      </c>
      <c r="L20" s="49">
        <v>1</v>
      </c>
      <c r="M20">
        <v>1</v>
      </c>
      <c r="N20">
        <v>1</v>
      </c>
      <c r="O20">
        <v>1</v>
      </c>
    </row>
    <row r="21" spans="1:16">
      <c r="A21" t="s">
        <v>596</v>
      </c>
      <c r="B21">
        <v>0</v>
      </c>
      <c r="C21">
        <v>2</v>
      </c>
      <c r="D21">
        <v>25</v>
      </c>
      <c r="E21" s="56">
        <f t="shared" ca="1" si="5"/>
        <v>93</v>
      </c>
      <c r="F21" s="56">
        <f t="shared" ref="F21" ca="1" si="6">IF(E21&gt;D21,0,1)</f>
        <v>0</v>
      </c>
      <c r="G21" s="56">
        <f t="shared" ca="1" si="1"/>
        <v>0</v>
      </c>
      <c r="H21" s="38">
        <f t="shared" ref="H21:H27" ca="1" si="7">(RANDBETWEEN(B21,C21)*G21)</f>
        <v>0</v>
      </c>
      <c r="I21" t="s">
        <v>355</v>
      </c>
      <c r="J21">
        <v>1</v>
      </c>
      <c r="K21">
        <v>1</v>
      </c>
      <c r="L21" s="49">
        <v>1</v>
      </c>
      <c r="M21">
        <v>1</v>
      </c>
      <c r="N21">
        <v>1</v>
      </c>
      <c r="O21">
        <v>1</v>
      </c>
      <c r="P21">
        <v>1</v>
      </c>
    </row>
    <row r="22" spans="1:16">
      <c r="A22" t="s">
        <v>340</v>
      </c>
      <c r="B22">
        <v>1</v>
      </c>
      <c r="C22">
        <v>3</v>
      </c>
      <c r="D22">
        <v>80</v>
      </c>
      <c r="E22" s="56">
        <f t="shared" ca="1" si="5"/>
        <v>72</v>
      </c>
      <c r="F22" s="56">
        <f t="shared" ca="1" si="0"/>
        <v>1</v>
      </c>
      <c r="G22" s="56">
        <f t="shared" ca="1" si="1"/>
        <v>0</v>
      </c>
      <c r="H22" s="38">
        <f t="shared" ca="1" si="7"/>
        <v>0</v>
      </c>
      <c r="I22" t="s">
        <v>386</v>
      </c>
      <c r="J22">
        <v>1</v>
      </c>
      <c r="K22">
        <v>1</v>
      </c>
      <c r="L22" s="49">
        <v>1</v>
      </c>
      <c r="M22">
        <v>1</v>
      </c>
      <c r="N22">
        <v>1</v>
      </c>
    </row>
    <row r="23" spans="1:16">
      <c r="A23" t="s">
        <v>338</v>
      </c>
      <c r="B23">
        <v>1</v>
      </c>
      <c r="C23">
        <v>2</v>
      </c>
      <c r="D23">
        <v>100</v>
      </c>
      <c r="E23" s="56">
        <f t="shared" ca="1" si="5"/>
        <v>15</v>
      </c>
      <c r="F23" s="56">
        <f t="shared" ca="1" si="0"/>
        <v>1</v>
      </c>
      <c r="G23" s="56">
        <f t="shared" ca="1" si="1"/>
        <v>1</v>
      </c>
      <c r="H23" s="38">
        <f t="shared" ca="1" si="7"/>
        <v>1</v>
      </c>
      <c r="I23" t="s">
        <v>354</v>
      </c>
      <c r="J23">
        <v>1</v>
      </c>
      <c r="K23">
        <v>1</v>
      </c>
      <c r="L23" s="49">
        <v>1</v>
      </c>
      <c r="M23">
        <v>1</v>
      </c>
      <c r="N23">
        <v>1</v>
      </c>
      <c r="O23">
        <v>1</v>
      </c>
      <c r="P23">
        <v>1</v>
      </c>
    </row>
    <row r="24" spans="1:16">
      <c r="A24" t="s">
        <v>341</v>
      </c>
      <c r="B24">
        <v>1</v>
      </c>
      <c r="C24">
        <v>3</v>
      </c>
      <c r="D24">
        <v>80</v>
      </c>
      <c r="E24" s="56">
        <f t="shared" ca="1" si="5"/>
        <v>70</v>
      </c>
      <c r="F24" s="56">
        <f t="shared" ca="1" si="0"/>
        <v>1</v>
      </c>
      <c r="G24" s="56">
        <f t="shared" ca="1" si="1"/>
        <v>1</v>
      </c>
      <c r="H24" s="38">
        <f t="shared" ca="1" si="7"/>
        <v>1</v>
      </c>
      <c r="J24">
        <v>1</v>
      </c>
      <c r="K24">
        <v>1</v>
      </c>
      <c r="L24" s="49">
        <v>1</v>
      </c>
      <c r="M24">
        <v>1</v>
      </c>
      <c r="N24">
        <v>1</v>
      </c>
      <c r="O24">
        <v>1</v>
      </c>
      <c r="P24">
        <v>1</v>
      </c>
    </row>
    <row r="25" spans="1:16">
      <c r="A25" t="s">
        <v>1022</v>
      </c>
      <c r="B25">
        <v>2</v>
      </c>
      <c r="C25">
        <v>6</v>
      </c>
      <c r="D25">
        <v>100</v>
      </c>
      <c r="E25" s="56">
        <f t="shared" ca="1" si="5"/>
        <v>91</v>
      </c>
      <c r="F25" s="56">
        <f t="shared" ca="1" si="0"/>
        <v>1</v>
      </c>
      <c r="G25" s="56">
        <f t="shared" ca="1" si="1"/>
        <v>0</v>
      </c>
      <c r="H25" s="38">
        <f t="shared" ca="1" si="7"/>
        <v>0</v>
      </c>
      <c r="I25" t="s">
        <v>354</v>
      </c>
      <c r="J25">
        <v>1</v>
      </c>
      <c r="K25">
        <v>1</v>
      </c>
      <c r="L25" s="49">
        <v>1</v>
      </c>
      <c r="M25">
        <v>1</v>
      </c>
      <c r="N25">
        <v>1</v>
      </c>
    </row>
    <row r="26" spans="1:16">
      <c r="A26" t="s">
        <v>632</v>
      </c>
      <c r="B26">
        <v>0</v>
      </c>
      <c r="C26">
        <v>2</v>
      </c>
      <c r="D26">
        <v>100</v>
      </c>
      <c r="E26" s="56">
        <f t="shared" ca="1" si="5"/>
        <v>47</v>
      </c>
      <c r="F26" s="56">
        <f t="shared" ref="F26" ca="1" si="8">IF(E26&gt;D26,0,1)</f>
        <v>1</v>
      </c>
      <c r="G26" s="56">
        <f t="shared" ca="1" si="1"/>
        <v>1</v>
      </c>
      <c r="H26" s="38">
        <f t="shared" ca="1" si="7"/>
        <v>1</v>
      </c>
      <c r="I26" t="s">
        <v>354</v>
      </c>
      <c r="J26">
        <v>1</v>
      </c>
      <c r="K26">
        <v>1</v>
      </c>
      <c r="L26" s="49">
        <v>1</v>
      </c>
      <c r="M26">
        <v>1</v>
      </c>
      <c r="N26">
        <v>1</v>
      </c>
      <c r="O26">
        <v>1</v>
      </c>
      <c r="P26">
        <v>1</v>
      </c>
    </row>
    <row r="27" spans="1:16">
      <c r="A27" t="s">
        <v>627</v>
      </c>
      <c r="B27">
        <v>0</v>
      </c>
      <c r="C27">
        <v>3</v>
      </c>
      <c r="D27">
        <v>20</v>
      </c>
      <c r="E27" s="56">
        <f t="shared" ca="1" si="5"/>
        <v>77</v>
      </c>
      <c r="F27" s="56">
        <f t="shared" ref="F27" ca="1" si="9">IF(E27&gt;D27,0,1)</f>
        <v>0</v>
      </c>
      <c r="G27" s="56">
        <f t="shared" ca="1" si="1"/>
        <v>0</v>
      </c>
      <c r="H27" s="38">
        <f t="shared" ca="1" si="7"/>
        <v>0</v>
      </c>
      <c r="I27" t="s">
        <v>355</v>
      </c>
      <c r="J27">
        <v>1</v>
      </c>
      <c r="K27">
        <v>1</v>
      </c>
      <c r="L27" s="49">
        <v>1</v>
      </c>
      <c r="M27">
        <v>1</v>
      </c>
      <c r="N27">
        <v>1</v>
      </c>
      <c r="O27">
        <v>1</v>
      </c>
      <c r="P27">
        <v>1</v>
      </c>
    </row>
    <row r="28" spans="1:16">
      <c r="H28" s="51"/>
    </row>
    <row r="29" spans="1:16">
      <c r="A29" s="34" t="s">
        <v>16</v>
      </c>
      <c r="H29" s="51"/>
    </row>
    <row r="30" spans="1:16">
      <c r="H30" s="51"/>
    </row>
    <row r="31" spans="1:16">
      <c r="A31" t="s">
        <v>342</v>
      </c>
      <c r="B31">
        <v>1</v>
      </c>
      <c r="C31">
        <v>3</v>
      </c>
      <c r="D31">
        <v>100</v>
      </c>
      <c r="E31" s="56">
        <f ca="1">RANDBETWEEN(1,100)</f>
        <v>70</v>
      </c>
      <c r="F31" s="56">
        <f t="shared" ca="1" si="0"/>
        <v>1</v>
      </c>
      <c r="G31" s="56">
        <f t="shared" ca="1" si="1"/>
        <v>0</v>
      </c>
      <c r="H31" s="38">
        <f ca="1">(RANDBETWEEN(B31,C31)*G31)</f>
        <v>0</v>
      </c>
      <c r="J31">
        <v>1</v>
      </c>
      <c r="K31">
        <v>1</v>
      </c>
      <c r="L31" s="49">
        <v>1</v>
      </c>
      <c r="M31">
        <v>1</v>
      </c>
      <c r="N31">
        <v>1</v>
      </c>
    </row>
    <row r="32" spans="1:16">
      <c r="H32" s="51"/>
    </row>
    <row r="33" spans="1:16">
      <c r="A33" s="34" t="s">
        <v>893</v>
      </c>
      <c r="H33" s="51"/>
    </row>
    <row r="34" spans="1:16">
      <c r="E34" s="59"/>
      <c r="F34" s="59"/>
      <c r="G34" s="59"/>
      <c r="H34" s="51"/>
    </row>
    <row r="35" spans="1:16">
      <c r="A35" t="s">
        <v>579</v>
      </c>
      <c r="B35">
        <v>0</v>
      </c>
      <c r="C35">
        <v>2</v>
      </c>
      <c r="D35">
        <v>75</v>
      </c>
      <c r="E35" s="56">
        <f t="shared" ref="E35:E43" ca="1" si="10">RANDBETWEEN(1,100)</f>
        <v>17</v>
      </c>
      <c r="F35" s="56">
        <f t="shared" ref="F35:F43" ca="1" si="11">IF(E35&gt;D35,0,1)</f>
        <v>1</v>
      </c>
      <c r="G35" s="56">
        <f t="shared" ref="G35:G43" ca="1" si="12">OFFSET(I35, 0, $B$1)*F35</f>
        <v>1</v>
      </c>
      <c r="H35" s="38">
        <f t="shared" ref="H35:H43" ca="1" si="13">(RANDBETWEEN(B35,C35)*G35)</f>
        <v>1</v>
      </c>
      <c r="I35" t="s">
        <v>354</v>
      </c>
      <c r="J35">
        <v>1</v>
      </c>
      <c r="K35">
        <v>1</v>
      </c>
      <c r="L35" s="49">
        <v>1</v>
      </c>
      <c r="M35">
        <v>1</v>
      </c>
      <c r="N35">
        <v>1</v>
      </c>
      <c r="O35">
        <v>1</v>
      </c>
      <c r="P35">
        <v>1</v>
      </c>
    </row>
    <row r="36" spans="1:16">
      <c r="A36" t="s">
        <v>597</v>
      </c>
      <c r="B36">
        <v>0</v>
      </c>
      <c r="C36">
        <v>1</v>
      </c>
      <c r="D36">
        <v>100</v>
      </c>
      <c r="E36" s="56">
        <f t="shared" ca="1" si="10"/>
        <v>33</v>
      </c>
      <c r="F36" s="56">
        <f t="shared" ca="1" si="11"/>
        <v>1</v>
      </c>
      <c r="G36" s="56">
        <f t="shared" ca="1" si="12"/>
        <v>1</v>
      </c>
      <c r="H36" s="38">
        <f t="shared" ca="1" si="13"/>
        <v>0</v>
      </c>
      <c r="I36" t="s">
        <v>354</v>
      </c>
      <c r="J36">
        <v>1</v>
      </c>
      <c r="K36">
        <v>1</v>
      </c>
      <c r="L36" s="49">
        <v>1</v>
      </c>
      <c r="M36">
        <v>1</v>
      </c>
      <c r="N36">
        <v>1</v>
      </c>
      <c r="O36">
        <v>1</v>
      </c>
      <c r="P36">
        <v>1</v>
      </c>
    </row>
    <row r="37" spans="1:16">
      <c r="A37" t="s">
        <v>631</v>
      </c>
      <c r="B37">
        <v>0</v>
      </c>
      <c r="C37">
        <v>3</v>
      </c>
      <c r="D37">
        <v>10</v>
      </c>
      <c r="E37" s="56">
        <f t="shared" ca="1" si="10"/>
        <v>15</v>
      </c>
      <c r="F37" s="56">
        <f t="shared" ca="1" si="11"/>
        <v>0</v>
      </c>
      <c r="G37" s="56">
        <f t="shared" ca="1" si="12"/>
        <v>0</v>
      </c>
      <c r="H37" s="38">
        <f t="shared" ca="1" si="13"/>
        <v>0</v>
      </c>
      <c r="I37" t="s">
        <v>386</v>
      </c>
      <c r="J37">
        <v>1</v>
      </c>
      <c r="K37">
        <v>1</v>
      </c>
      <c r="L37" s="49">
        <v>1</v>
      </c>
      <c r="M37">
        <v>1</v>
      </c>
      <c r="N37">
        <v>1</v>
      </c>
      <c r="O37">
        <v>1</v>
      </c>
      <c r="P37">
        <v>1</v>
      </c>
    </row>
    <row r="38" spans="1:16">
      <c r="A38" t="s">
        <v>344</v>
      </c>
      <c r="B38">
        <v>1</v>
      </c>
      <c r="C38">
        <v>3</v>
      </c>
      <c r="D38">
        <v>100</v>
      </c>
      <c r="E38" s="56">
        <f t="shared" ca="1" si="10"/>
        <v>49</v>
      </c>
      <c r="F38" s="56">
        <f t="shared" ca="1" si="11"/>
        <v>1</v>
      </c>
      <c r="G38" s="56">
        <f t="shared" ca="1" si="12"/>
        <v>0</v>
      </c>
      <c r="H38" s="38">
        <f t="shared" ca="1" si="13"/>
        <v>0</v>
      </c>
      <c r="I38" t="s">
        <v>354</v>
      </c>
      <c r="J38">
        <v>1</v>
      </c>
      <c r="K38">
        <v>1</v>
      </c>
      <c r="L38" s="49">
        <v>1</v>
      </c>
      <c r="M38">
        <v>1</v>
      </c>
      <c r="N38">
        <v>1</v>
      </c>
    </row>
    <row r="39" spans="1:16">
      <c r="A39" t="s">
        <v>892</v>
      </c>
      <c r="B39">
        <v>0</v>
      </c>
      <c r="C39">
        <v>2</v>
      </c>
      <c r="D39">
        <v>50</v>
      </c>
      <c r="E39" s="56">
        <f t="shared" ca="1" si="10"/>
        <v>31</v>
      </c>
      <c r="F39" s="56">
        <f t="shared" ca="1" si="11"/>
        <v>1</v>
      </c>
      <c r="G39" s="56">
        <f t="shared" ca="1" si="12"/>
        <v>1</v>
      </c>
      <c r="H39" s="38">
        <f t="shared" ca="1" si="13"/>
        <v>2</v>
      </c>
      <c r="I39" t="s">
        <v>225</v>
      </c>
      <c r="J39">
        <v>1</v>
      </c>
      <c r="K39">
        <v>1</v>
      </c>
      <c r="L39" s="49">
        <v>1</v>
      </c>
      <c r="M39">
        <v>1</v>
      </c>
      <c r="N39">
        <v>1</v>
      </c>
      <c r="O39">
        <v>1</v>
      </c>
      <c r="P39">
        <v>1</v>
      </c>
    </row>
    <row r="40" spans="1:16">
      <c r="A40" t="s">
        <v>345</v>
      </c>
      <c r="B40">
        <v>0</v>
      </c>
      <c r="C40">
        <v>1</v>
      </c>
      <c r="D40">
        <v>75</v>
      </c>
      <c r="E40" s="56">
        <f t="shared" ca="1" si="10"/>
        <v>17</v>
      </c>
      <c r="F40" s="56">
        <f t="shared" ca="1" si="11"/>
        <v>1</v>
      </c>
      <c r="G40" s="56">
        <f t="shared" ca="1" si="12"/>
        <v>1</v>
      </c>
      <c r="H40" s="38">
        <f t="shared" ca="1" si="13"/>
        <v>0</v>
      </c>
      <c r="I40" t="s">
        <v>356</v>
      </c>
      <c r="K40">
        <v>1</v>
      </c>
      <c r="L40" s="49">
        <v>1</v>
      </c>
      <c r="M40">
        <v>1</v>
      </c>
      <c r="N40">
        <v>1</v>
      </c>
      <c r="O40">
        <v>1</v>
      </c>
    </row>
    <row r="41" spans="1:16">
      <c r="A41" t="s">
        <v>346</v>
      </c>
      <c r="B41">
        <v>0</v>
      </c>
      <c r="C41">
        <v>2</v>
      </c>
      <c r="D41">
        <v>100</v>
      </c>
      <c r="E41" s="56">
        <f t="shared" ca="1" si="10"/>
        <v>49</v>
      </c>
      <c r="F41" s="56">
        <f t="shared" ca="1" si="11"/>
        <v>1</v>
      </c>
      <c r="G41" s="56">
        <f t="shared" ca="1" si="12"/>
        <v>0</v>
      </c>
      <c r="H41" s="38">
        <f t="shared" ca="1" si="13"/>
        <v>0</v>
      </c>
      <c r="I41" t="s">
        <v>356</v>
      </c>
      <c r="K41">
        <v>1</v>
      </c>
      <c r="L41" s="49">
        <v>1</v>
      </c>
      <c r="N41">
        <v>1</v>
      </c>
    </row>
    <row r="42" spans="1:16">
      <c r="A42" t="s">
        <v>894</v>
      </c>
      <c r="B42">
        <v>0</v>
      </c>
      <c r="C42">
        <v>2</v>
      </c>
      <c r="D42">
        <v>60</v>
      </c>
      <c r="E42" s="56">
        <f t="shared" ca="1" si="10"/>
        <v>41</v>
      </c>
      <c r="F42" s="56">
        <f t="shared" ca="1" si="11"/>
        <v>1</v>
      </c>
      <c r="G42" s="56">
        <f t="shared" ca="1" si="12"/>
        <v>1</v>
      </c>
      <c r="H42" s="38">
        <f t="shared" ca="1" si="13"/>
        <v>1</v>
      </c>
      <c r="I42" t="s">
        <v>356</v>
      </c>
      <c r="K42">
        <v>1</v>
      </c>
      <c r="L42" s="49">
        <v>1</v>
      </c>
      <c r="M42">
        <v>1</v>
      </c>
      <c r="N42">
        <v>1</v>
      </c>
      <c r="O42">
        <v>1</v>
      </c>
    </row>
    <row r="43" spans="1:16">
      <c r="A43" t="s">
        <v>580</v>
      </c>
      <c r="B43">
        <v>1</v>
      </c>
      <c r="C43">
        <v>5</v>
      </c>
      <c r="D43">
        <v>100</v>
      </c>
      <c r="E43" s="56">
        <f t="shared" ca="1" si="10"/>
        <v>31</v>
      </c>
      <c r="F43" s="56">
        <f t="shared" ca="1" si="11"/>
        <v>1</v>
      </c>
      <c r="G43" s="56">
        <f t="shared" ca="1" si="12"/>
        <v>1</v>
      </c>
      <c r="H43" s="38">
        <f t="shared" ca="1" si="13"/>
        <v>4</v>
      </c>
      <c r="I43" t="s">
        <v>356</v>
      </c>
      <c r="K43">
        <v>1</v>
      </c>
      <c r="M43">
        <v>1</v>
      </c>
      <c r="O43">
        <v>1</v>
      </c>
    </row>
    <row r="44" spans="1:16">
      <c r="H44" s="51"/>
    </row>
    <row r="45" spans="1:16">
      <c r="A45" s="34" t="s">
        <v>891</v>
      </c>
      <c r="H45" s="51"/>
    </row>
    <row r="46" spans="1:16">
      <c r="H46" s="51"/>
    </row>
    <row r="47" spans="1:16">
      <c r="A47" t="s">
        <v>348</v>
      </c>
      <c r="B47">
        <v>0</v>
      </c>
      <c r="C47">
        <v>3</v>
      </c>
      <c r="D47">
        <v>70</v>
      </c>
      <c r="E47" s="56">
        <f ca="1">RANDBETWEEN(1,100)</f>
        <v>33</v>
      </c>
      <c r="F47" s="56">
        <f t="shared" ca="1" si="0"/>
        <v>1</v>
      </c>
      <c r="G47" s="56">
        <f t="shared" ca="1" si="1"/>
        <v>1</v>
      </c>
      <c r="H47" s="38">
        <f ca="1">(RANDBETWEEN(B47,C47)*G47)</f>
        <v>0</v>
      </c>
      <c r="I47" t="s">
        <v>356</v>
      </c>
      <c r="K47">
        <v>1</v>
      </c>
      <c r="M47">
        <v>1</v>
      </c>
      <c r="O47">
        <v>1</v>
      </c>
    </row>
    <row r="48" spans="1:16">
      <c r="A48" t="s">
        <v>349</v>
      </c>
      <c r="B48">
        <v>0</v>
      </c>
      <c r="C48">
        <v>2</v>
      </c>
      <c r="D48">
        <v>50</v>
      </c>
      <c r="E48" s="56">
        <f ca="1">RANDBETWEEN(1,100)</f>
        <v>19</v>
      </c>
      <c r="F48" s="56">
        <f t="shared" ca="1" si="0"/>
        <v>1</v>
      </c>
      <c r="G48" s="56">
        <f t="shared" ca="1" si="1"/>
        <v>1</v>
      </c>
      <c r="H48" s="38">
        <f ca="1">(RANDBETWEEN(B48,C48)*G48)</f>
        <v>0</v>
      </c>
      <c r="I48" t="s">
        <v>356</v>
      </c>
      <c r="K48">
        <v>1</v>
      </c>
      <c r="M48">
        <v>1</v>
      </c>
      <c r="O48">
        <v>1</v>
      </c>
    </row>
    <row r="49" spans="1:16">
      <c r="A49" t="s">
        <v>343</v>
      </c>
      <c r="B49">
        <v>1</v>
      </c>
      <c r="C49">
        <v>3</v>
      </c>
      <c r="D49">
        <v>75</v>
      </c>
      <c r="E49" s="56">
        <f ca="1">RANDBETWEEN(1,100)</f>
        <v>20</v>
      </c>
      <c r="F49" s="56">
        <f t="shared" ref="F49" ca="1" si="14">IF(E49&gt;D49,0,1)</f>
        <v>1</v>
      </c>
      <c r="G49" s="56">
        <f t="shared" ref="G49" ca="1" si="15">OFFSET(I49, 0, $B$1)*F49</f>
        <v>1</v>
      </c>
      <c r="H49" s="38">
        <f ca="1">(RANDBETWEEN(B49,C49)*G49)</f>
        <v>3</v>
      </c>
      <c r="I49" t="s">
        <v>355</v>
      </c>
      <c r="J49">
        <v>1</v>
      </c>
      <c r="K49">
        <v>1</v>
      </c>
      <c r="L49" s="49">
        <v>1</v>
      </c>
      <c r="M49">
        <v>1</v>
      </c>
      <c r="N49">
        <v>1</v>
      </c>
      <c r="O49">
        <v>1</v>
      </c>
      <c r="P49">
        <v>1</v>
      </c>
    </row>
    <row r="50" spans="1:16">
      <c r="E50" s="59"/>
      <c r="F50" s="59"/>
      <c r="G50" s="59"/>
      <c r="H50" s="51"/>
    </row>
    <row r="51" spans="1:16">
      <c r="A51" s="35" t="s">
        <v>350</v>
      </c>
      <c r="E51" s="59"/>
      <c r="F51" s="59"/>
      <c r="G51" s="59"/>
      <c r="H51" s="51"/>
    </row>
    <row r="52" spans="1:16">
      <c r="E52" s="59"/>
      <c r="F52" s="59"/>
      <c r="G52" s="59"/>
      <c r="H52" s="51"/>
    </row>
    <row r="53" spans="1:16">
      <c r="A53" t="s">
        <v>351</v>
      </c>
      <c r="B53">
        <v>0</v>
      </c>
      <c r="C53">
        <v>2</v>
      </c>
      <c r="D53">
        <v>75</v>
      </c>
      <c r="E53" s="56">
        <f t="shared" ref="E53:E57" ca="1" si="16">RANDBETWEEN(1,100)</f>
        <v>8</v>
      </c>
      <c r="F53" s="56">
        <f t="shared" ref="F53:F55" ca="1" si="17">IF(E53&gt;D53,0,1)</f>
        <v>1</v>
      </c>
      <c r="G53" s="56">
        <f t="shared" ref="G53:G55" ca="1" si="18">OFFSET(I53, 0, $B$1)*F53</f>
        <v>1</v>
      </c>
      <c r="H53" s="38">
        <f t="shared" ref="H53:H55" ca="1" si="19">(RANDBETWEEN(B53,C53)*G53)</f>
        <v>0</v>
      </c>
      <c r="I53" t="s">
        <v>356</v>
      </c>
      <c r="K53">
        <v>1</v>
      </c>
      <c r="M53">
        <v>1</v>
      </c>
      <c r="O53">
        <v>1</v>
      </c>
    </row>
    <row r="54" spans="1:16">
      <c r="A54" t="s">
        <v>630</v>
      </c>
      <c r="B54">
        <v>0</v>
      </c>
      <c r="C54">
        <v>1</v>
      </c>
      <c r="D54">
        <v>100</v>
      </c>
      <c r="E54" s="56">
        <f t="shared" ca="1" si="16"/>
        <v>87</v>
      </c>
      <c r="F54" s="56">
        <f t="shared" ca="1" si="17"/>
        <v>1</v>
      </c>
      <c r="G54" s="56">
        <f t="shared" ca="1" si="18"/>
        <v>1</v>
      </c>
      <c r="H54" s="38">
        <f t="shared" ca="1" si="19"/>
        <v>1</v>
      </c>
      <c r="I54" t="s">
        <v>354</v>
      </c>
      <c r="J54">
        <v>1</v>
      </c>
      <c r="K54">
        <v>1</v>
      </c>
      <c r="L54" s="49">
        <v>1</v>
      </c>
      <c r="M54">
        <v>1</v>
      </c>
      <c r="N54">
        <v>1</v>
      </c>
      <c r="O54">
        <v>1</v>
      </c>
      <c r="P54">
        <v>1</v>
      </c>
    </row>
    <row r="55" spans="1:16">
      <c r="A55" t="s">
        <v>896</v>
      </c>
      <c r="B55">
        <v>0</v>
      </c>
      <c r="C55">
        <v>2</v>
      </c>
      <c r="D55">
        <v>100</v>
      </c>
      <c r="E55" s="56">
        <f t="shared" ca="1" si="16"/>
        <v>54</v>
      </c>
      <c r="F55" s="56">
        <f t="shared" ca="1" si="17"/>
        <v>1</v>
      </c>
      <c r="G55" s="56">
        <f t="shared" ca="1" si="18"/>
        <v>1</v>
      </c>
      <c r="H55" s="38">
        <f t="shared" ca="1" si="19"/>
        <v>0</v>
      </c>
      <c r="I55" t="s">
        <v>356</v>
      </c>
      <c r="J55">
        <v>1</v>
      </c>
      <c r="K55">
        <v>1</v>
      </c>
      <c r="L55" s="49">
        <v>1</v>
      </c>
      <c r="M55">
        <v>1</v>
      </c>
      <c r="N55">
        <v>1</v>
      </c>
      <c r="O55">
        <v>1</v>
      </c>
      <c r="P55">
        <v>1</v>
      </c>
    </row>
    <row r="56" spans="1:16">
      <c r="A56" t="s">
        <v>895</v>
      </c>
      <c r="B56">
        <v>1</v>
      </c>
      <c r="C56">
        <v>1</v>
      </c>
      <c r="D56">
        <v>10</v>
      </c>
      <c r="E56" s="56">
        <f t="shared" ca="1" si="16"/>
        <v>78</v>
      </c>
      <c r="F56" s="56">
        <f t="shared" ref="F56:F57" ca="1" si="20">IF(E56&gt;D56,0,1)</f>
        <v>0</v>
      </c>
      <c r="G56" s="56">
        <f t="shared" ref="G56:G57" ca="1" si="21">OFFSET(I56, 0, $B$1)*F56</f>
        <v>0</v>
      </c>
      <c r="H56" s="38">
        <f t="shared" ref="H56:H57" ca="1" si="22">(RANDBETWEEN(B56,C56)*G56)</f>
        <v>0</v>
      </c>
      <c r="I56" t="s">
        <v>354</v>
      </c>
      <c r="J56">
        <v>1</v>
      </c>
      <c r="K56">
        <v>1</v>
      </c>
      <c r="L56" s="49">
        <v>1</v>
      </c>
      <c r="M56">
        <v>1</v>
      </c>
      <c r="N56">
        <v>1</v>
      </c>
      <c r="O56">
        <v>1</v>
      </c>
      <c r="P56">
        <v>1</v>
      </c>
    </row>
    <row r="57" spans="1:16">
      <c r="A57" t="s">
        <v>460</v>
      </c>
      <c r="B57">
        <v>1</v>
      </c>
      <c r="C57">
        <v>2</v>
      </c>
      <c r="D57">
        <v>100</v>
      </c>
      <c r="E57" s="56">
        <f t="shared" ca="1" si="16"/>
        <v>2</v>
      </c>
      <c r="F57" s="56">
        <f t="shared" ca="1" si="20"/>
        <v>1</v>
      </c>
      <c r="G57" s="56">
        <f t="shared" ca="1" si="21"/>
        <v>0</v>
      </c>
      <c r="H57" s="38">
        <f t="shared" ca="1" si="22"/>
        <v>0</v>
      </c>
      <c r="I57" t="s">
        <v>354</v>
      </c>
      <c r="M57">
        <v>1</v>
      </c>
    </row>
    <row r="58" spans="1:16">
      <c r="E58" s="59"/>
      <c r="F58" s="59"/>
      <c r="G58" s="59"/>
      <c r="H58" s="51"/>
    </row>
    <row r="59" spans="1:16">
      <c r="A59" s="34" t="s">
        <v>352</v>
      </c>
      <c r="E59" s="59"/>
      <c r="F59" s="59"/>
      <c r="G59" s="59"/>
      <c r="H59" s="51"/>
    </row>
    <row r="60" spans="1:16">
      <c r="E60" s="59"/>
      <c r="F60" s="59"/>
      <c r="G60" s="59"/>
      <c r="H60" s="51"/>
    </row>
    <row r="61" spans="1:16">
      <c r="A61" t="s">
        <v>888</v>
      </c>
      <c r="B61">
        <v>1</v>
      </c>
      <c r="C61">
        <v>1</v>
      </c>
      <c r="D61">
        <v>20</v>
      </c>
      <c r="E61" s="56">
        <f t="shared" ref="E61:E79" ca="1" si="23">RANDBETWEEN(1,100)</f>
        <v>68</v>
      </c>
      <c r="F61" s="56">
        <f t="shared" ref="F61:F78" ca="1" si="24">IF(E61&gt;D61,0,1)</f>
        <v>0</v>
      </c>
      <c r="G61" s="56">
        <f t="shared" ref="G61:G78" ca="1" si="25">OFFSET(I61, 0, $B$1)*F61</f>
        <v>0</v>
      </c>
      <c r="H61" s="38">
        <f t="shared" ref="H61:H78" ca="1" si="26">(RANDBETWEEN(B61,C61)*G61)</f>
        <v>0</v>
      </c>
      <c r="I61" t="s">
        <v>225</v>
      </c>
      <c r="J61">
        <v>1</v>
      </c>
      <c r="K61">
        <v>1</v>
      </c>
      <c r="L61" s="49">
        <v>1</v>
      </c>
      <c r="M61">
        <v>1</v>
      </c>
      <c r="N61">
        <v>1</v>
      </c>
      <c r="O61">
        <v>1</v>
      </c>
      <c r="P61">
        <v>1</v>
      </c>
    </row>
    <row r="62" spans="1:16">
      <c r="A62" t="s">
        <v>885</v>
      </c>
      <c r="B62">
        <v>0</v>
      </c>
      <c r="C62">
        <v>1</v>
      </c>
      <c r="D62">
        <v>15</v>
      </c>
      <c r="E62" s="56">
        <f t="shared" ca="1" si="23"/>
        <v>17</v>
      </c>
      <c r="F62" s="56">
        <f t="shared" ca="1" si="24"/>
        <v>0</v>
      </c>
      <c r="G62" s="56">
        <f t="shared" ca="1" si="25"/>
        <v>0</v>
      </c>
      <c r="H62" s="38">
        <f t="shared" ca="1" si="26"/>
        <v>0</v>
      </c>
      <c r="I62" t="s">
        <v>225</v>
      </c>
      <c r="J62">
        <v>1</v>
      </c>
      <c r="K62">
        <v>1</v>
      </c>
      <c r="L62" s="49">
        <v>1</v>
      </c>
      <c r="M62">
        <v>1</v>
      </c>
      <c r="N62">
        <v>1</v>
      </c>
      <c r="O62">
        <v>1</v>
      </c>
      <c r="P62">
        <v>1</v>
      </c>
    </row>
    <row r="63" spans="1:16">
      <c r="A63" t="s">
        <v>890</v>
      </c>
      <c r="B63">
        <v>0</v>
      </c>
      <c r="C63">
        <v>1</v>
      </c>
      <c r="D63">
        <v>50</v>
      </c>
      <c r="E63" s="56">
        <f t="shared" ca="1" si="23"/>
        <v>14</v>
      </c>
      <c r="F63" s="56">
        <f t="shared" ca="1" si="24"/>
        <v>1</v>
      </c>
      <c r="G63" s="56">
        <f t="shared" ca="1" si="25"/>
        <v>1</v>
      </c>
      <c r="H63" s="38">
        <f t="shared" ca="1" si="26"/>
        <v>0</v>
      </c>
      <c r="I63" t="s">
        <v>225</v>
      </c>
      <c r="J63">
        <v>1</v>
      </c>
      <c r="K63">
        <v>1</v>
      </c>
      <c r="L63" s="49">
        <v>1</v>
      </c>
      <c r="M63">
        <v>1</v>
      </c>
      <c r="N63">
        <v>1</v>
      </c>
      <c r="O63">
        <v>1</v>
      </c>
      <c r="P63">
        <v>1</v>
      </c>
    </row>
    <row r="64" spans="1:16">
      <c r="A64" t="s">
        <v>889</v>
      </c>
      <c r="B64">
        <v>0</v>
      </c>
      <c r="C64">
        <v>1</v>
      </c>
      <c r="D64">
        <v>50</v>
      </c>
      <c r="E64" s="56">
        <f t="shared" ca="1" si="23"/>
        <v>11</v>
      </c>
      <c r="F64" s="56">
        <f t="shared" ca="1" si="24"/>
        <v>1</v>
      </c>
      <c r="G64" s="56">
        <f t="shared" ca="1" si="25"/>
        <v>1</v>
      </c>
      <c r="H64" s="38">
        <f t="shared" ca="1" si="26"/>
        <v>1</v>
      </c>
      <c r="I64" t="s">
        <v>225</v>
      </c>
      <c r="J64">
        <v>1</v>
      </c>
      <c r="K64">
        <v>1</v>
      </c>
      <c r="L64" s="49">
        <v>1</v>
      </c>
      <c r="M64">
        <v>1</v>
      </c>
      <c r="N64">
        <v>1</v>
      </c>
      <c r="O64">
        <v>1</v>
      </c>
      <c r="P64">
        <v>1</v>
      </c>
    </row>
    <row r="65" spans="1:16">
      <c r="A65" t="s">
        <v>1021</v>
      </c>
      <c r="B65">
        <v>0</v>
      </c>
      <c r="C65">
        <v>2</v>
      </c>
      <c r="D65">
        <v>50</v>
      </c>
      <c r="E65" s="56">
        <f t="shared" ca="1" si="23"/>
        <v>14</v>
      </c>
      <c r="F65" s="56">
        <f t="shared" ref="F65" ca="1" si="27">IF(E65&gt;D65,0,1)</f>
        <v>1</v>
      </c>
      <c r="G65" s="56">
        <f t="shared" ref="G65" ca="1" si="28">OFFSET(I65, 0, $B$1)*F65</f>
        <v>1</v>
      </c>
      <c r="H65" s="38">
        <f t="shared" ref="H65" ca="1" si="29">(RANDBETWEEN(B65,C65)*G65)</f>
        <v>2</v>
      </c>
      <c r="I65" t="s">
        <v>225</v>
      </c>
      <c r="J65">
        <v>1</v>
      </c>
      <c r="K65">
        <v>1</v>
      </c>
      <c r="L65" s="49">
        <v>1</v>
      </c>
      <c r="M65">
        <v>1</v>
      </c>
      <c r="N65">
        <v>1</v>
      </c>
      <c r="O65">
        <v>1</v>
      </c>
      <c r="P65">
        <v>1</v>
      </c>
    </row>
    <row r="66" spans="1:16">
      <c r="A66" t="s">
        <v>887</v>
      </c>
      <c r="B66">
        <v>1</v>
      </c>
      <c r="C66">
        <v>2</v>
      </c>
      <c r="D66">
        <v>25</v>
      </c>
      <c r="E66" s="56">
        <f t="shared" ca="1" si="23"/>
        <v>81</v>
      </c>
      <c r="F66" s="56">
        <f t="shared" ca="1" si="24"/>
        <v>0</v>
      </c>
      <c r="G66" s="56">
        <f t="shared" ca="1" si="25"/>
        <v>0</v>
      </c>
      <c r="H66" s="38">
        <f t="shared" ca="1" si="26"/>
        <v>0</v>
      </c>
      <c r="I66" t="s">
        <v>225</v>
      </c>
      <c r="J66">
        <v>1</v>
      </c>
      <c r="K66">
        <v>1</v>
      </c>
      <c r="L66" s="49">
        <v>1</v>
      </c>
      <c r="M66">
        <v>1</v>
      </c>
      <c r="N66">
        <v>1</v>
      </c>
      <c r="O66">
        <v>1</v>
      </c>
      <c r="P66">
        <v>1</v>
      </c>
    </row>
    <row r="67" spans="1:16">
      <c r="A67" t="s">
        <v>881</v>
      </c>
      <c r="B67">
        <v>0</v>
      </c>
      <c r="C67">
        <v>1</v>
      </c>
      <c r="D67">
        <v>25</v>
      </c>
      <c r="E67" s="56">
        <f t="shared" ca="1" si="23"/>
        <v>92</v>
      </c>
      <c r="F67" s="56">
        <f t="shared" ca="1" si="24"/>
        <v>0</v>
      </c>
      <c r="G67" s="56">
        <f t="shared" ca="1" si="25"/>
        <v>0</v>
      </c>
      <c r="H67" s="38">
        <f t="shared" ca="1" si="26"/>
        <v>0</v>
      </c>
      <c r="I67" t="s">
        <v>225</v>
      </c>
      <c r="J67">
        <v>1</v>
      </c>
      <c r="K67">
        <v>1</v>
      </c>
      <c r="L67" s="49">
        <v>1</v>
      </c>
      <c r="M67">
        <v>1</v>
      </c>
      <c r="N67">
        <v>1</v>
      </c>
      <c r="O67">
        <v>1</v>
      </c>
      <c r="P67">
        <v>1</v>
      </c>
    </row>
    <row r="68" spans="1:16">
      <c r="A68" t="s">
        <v>880</v>
      </c>
      <c r="B68">
        <v>0</v>
      </c>
      <c r="C68">
        <v>1</v>
      </c>
      <c r="D68">
        <v>25</v>
      </c>
      <c r="E68" s="56">
        <f t="shared" ca="1" si="23"/>
        <v>60</v>
      </c>
      <c r="F68" s="56">
        <f t="shared" ca="1" si="24"/>
        <v>0</v>
      </c>
      <c r="G68" s="56">
        <f t="shared" ca="1" si="25"/>
        <v>0</v>
      </c>
      <c r="H68" s="38">
        <f t="shared" ca="1" si="26"/>
        <v>0</v>
      </c>
      <c r="I68" t="s">
        <v>225</v>
      </c>
      <c r="J68">
        <v>1</v>
      </c>
      <c r="K68">
        <v>1</v>
      </c>
      <c r="L68" s="49">
        <v>1</v>
      </c>
      <c r="M68">
        <v>1</v>
      </c>
      <c r="N68">
        <v>1</v>
      </c>
      <c r="O68">
        <v>1</v>
      </c>
      <c r="P68">
        <v>1</v>
      </c>
    </row>
    <row r="69" spans="1:16">
      <c r="A69" t="s">
        <v>886</v>
      </c>
      <c r="B69" s="19">
        <v>0</v>
      </c>
      <c r="C69" s="19">
        <v>0</v>
      </c>
      <c r="D69" s="19">
        <v>0</v>
      </c>
      <c r="E69" s="56">
        <f t="shared" ca="1" si="23"/>
        <v>49</v>
      </c>
      <c r="F69" s="56">
        <f t="shared" ca="1" si="24"/>
        <v>0</v>
      </c>
      <c r="G69" s="56">
        <f t="shared" ca="1" si="25"/>
        <v>0</v>
      </c>
      <c r="H69" s="38">
        <f t="shared" ca="1" si="26"/>
        <v>0</v>
      </c>
      <c r="I69" t="s">
        <v>225</v>
      </c>
      <c r="J69">
        <v>1</v>
      </c>
      <c r="K69">
        <v>1</v>
      </c>
      <c r="L69" s="49">
        <v>1</v>
      </c>
      <c r="M69">
        <v>1</v>
      </c>
      <c r="N69">
        <v>1</v>
      </c>
      <c r="O69">
        <v>1</v>
      </c>
      <c r="P69">
        <v>1</v>
      </c>
    </row>
    <row r="70" spans="1:16">
      <c r="A70" t="s">
        <v>878</v>
      </c>
      <c r="B70">
        <v>0</v>
      </c>
      <c r="C70">
        <v>1</v>
      </c>
      <c r="D70">
        <v>25</v>
      </c>
      <c r="E70" s="56">
        <f t="shared" ca="1" si="23"/>
        <v>57</v>
      </c>
      <c r="F70" s="56">
        <f t="shared" ca="1" si="24"/>
        <v>0</v>
      </c>
      <c r="G70" s="56">
        <f t="shared" ca="1" si="25"/>
        <v>0</v>
      </c>
      <c r="H70" s="38">
        <f t="shared" ca="1" si="26"/>
        <v>0</v>
      </c>
      <c r="I70" t="s">
        <v>225</v>
      </c>
      <c r="J70">
        <v>1</v>
      </c>
      <c r="K70">
        <v>1</v>
      </c>
      <c r="L70" s="49">
        <v>1</v>
      </c>
      <c r="M70">
        <v>1</v>
      </c>
      <c r="N70">
        <v>1</v>
      </c>
      <c r="O70">
        <v>1</v>
      </c>
      <c r="P70">
        <v>1</v>
      </c>
    </row>
    <row r="71" spans="1:16">
      <c r="A71" t="s">
        <v>879</v>
      </c>
      <c r="B71">
        <v>0</v>
      </c>
      <c r="C71">
        <v>1</v>
      </c>
      <c r="D71">
        <v>25</v>
      </c>
      <c r="E71" s="56">
        <f t="shared" ca="1" si="23"/>
        <v>39</v>
      </c>
      <c r="F71" s="56">
        <f t="shared" ca="1" si="24"/>
        <v>0</v>
      </c>
      <c r="G71" s="56">
        <f t="shared" ca="1" si="25"/>
        <v>0</v>
      </c>
      <c r="H71" s="38">
        <f t="shared" ca="1" si="26"/>
        <v>0</v>
      </c>
      <c r="I71" t="s">
        <v>355</v>
      </c>
      <c r="J71">
        <v>1</v>
      </c>
      <c r="K71">
        <v>1</v>
      </c>
      <c r="L71" s="49">
        <v>1</v>
      </c>
      <c r="M71">
        <v>1</v>
      </c>
      <c r="N71">
        <v>1</v>
      </c>
      <c r="O71">
        <v>1</v>
      </c>
      <c r="P71">
        <v>1</v>
      </c>
    </row>
    <row r="72" spans="1:16">
      <c r="A72" t="s">
        <v>882</v>
      </c>
      <c r="B72">
        <v>1</v>
      </c>
      <c r="C72">
        <v>1</v>
      </c>
      <c r="D72">
        <v>50</v>
      </c>
      <c r="E72" s="56">
        <f t="shared" ca="1" si="23"/>
        <v>88</v>
      </c>
      <c r="F72" s="56">
        <f t="shared" ca="1" si="24"/>
        <v>0</v>
      </c>
      <c r="G72" s="56">
        <f t="shared" ca="1" si="25"/>
        <v>0</v>
      </c>
      <c r="H72" s="38">
        <f t="shared" ca="1" si="26"/>
        <v>0</v>
      </c>
      <c r="I72" t="s">
        <v>355</v>
      </c>
      <c r="J72">
        <v>1</v>
      </c>
      <c r="K72">
        <v>1</v>
      </c>
      <c r="L72" s="49">
        <v>1</v>
      </c>
      <c r="M72">
        <v>1</v>
      </c>
      <c r="N72">
        <v>1</v>
      </c>
      <c r="O72">
        <v>1</v>
      </c>
      <c r="P72">
        <v>1</v>
      </c>
    </row>
    <row r="73" spans="1:16">
      <c r="A73" t="s">
        <v>883</v>
      </c>
      <c r="B73">
        <v>0</v>
      </c>
      <c r="C73">
        <v>1</v>
      </c>
      <c r="D73">
        <v>50</v>
      </c>
      <c r="E73" s="56">
        <f t="shared" ca="1" si="23"/>
        <v>14</v>
      </c>
      <c r="F73" s="56">
        <f t="shared" ca="1" si="24"/>
        <v>1</v>
      </c>
      <c r="G73" s="56">
        <f t="shared" ca="1" si="25"/>
        <v>1</v>
      </c>
      <c r="H73" s="38">
        <f t="shared" ca="1" si="26"/>
        <v>1</v>
      </c>
      <c r="I73" t="s">
        <v>355</v>
      </c>
      <c r="J73">
        <v>1</v>
      </c>
      <c r="K73">
        <v>1</v>
      </c>
      <c r="L73" s="49">
        <v>1</v>
      </c>
      <c r="M73">
        <v>1</v>
      </c>
      <c r="N73">
        <v>1</v>
      </c>
      <c r="O73">
        <v>1</v>
      </c>
      <c r="P73">
        <v>1</v>
      </c>
    </row>
    <row r="74" spans="1:16">
      <c r="A74" t="s">
        <v>232</v>
      </c>
      <c r="B74">
        <v>1</v>
      </c>
      <c r="C74">
        <v>2</v>
      </c>
      <c r="D74">
        <v>75</v>
      </c>
      <c r="E74" s="56">
        <f t="shared" ca="1" si="23"/>
        <v>86</v>
      </c>
      <c r="F74" s="56">
        <f t="shared" ca="1" si="24"/>
        <v>0</v>
      </c>
      <c r="G74" s="56">
        <f t="shared" ca="1" si="25"/>
        <v>0</v>
      </c>
      <c r="H74" s="38">
        <f t="shared" ca="1" si="26"/>
        <v>0</v>
      </c>
      <c r="I74" t="s">
        <v>356</v>
      </c>
      <c r="J74">
        <v>1</v>
      </c>
      <c r="K74">
        <v>1</v>
      </c>
      <c r="L74" s="49">
        <v>1</v>
      </c>
      <c r="M74">
        <v>1</v>
      </c>
      <c r="N74">
        <v>1</v>
      </c>
      <c r="O74">
        <v>1</v>
      </c>
      <c r="P74">
        <v>1</v>
      </c>
    </row>
    <row r="75" spans="1:16">
      <c r="A75" t="s">
        <v>786</v>
      </c>
      <c r="B75">
        <v>0</v>
      </c>
      <c r="C75">
        <v>1</v>
      </c>
      <c r="D75">
        <v>50</v>
      </c>
      <c r="E75" s="56">
        <f t="shared" ca="1" si="23"/>
        <v>15</v>
      </c>
      <c r="F75" s="56">
        <f t="shared" ca="1" si="24"/>
        <v>1</v>
      </c>
      <c r="G75" s="56">
        <f t="shared" ca="1" si="25"/>
        <v>1</v>
      </c>
      <c r="H75" s="38">
        <f t="shared" ca="1" si="26"/>
        <v>1</v>
      </c>
      <c r="I75" t="s">
        <v>225</v>
      </c>
      <c r="J75">
        <v>1</v>
      </c>
      <c r="K75">
        <v>1</v>
      </c>
      <c r="L75" s="49">
        <v>1</v>
      </c>
      <c r="M75">
        <v>1</v>
      </c>
      <c r="N75">
        <v>1</v>
      </c>
      <c r="O75">
        <v>1</v>
      </c>
      <c r="P75">
        <v>1</v>
      </c>
    </row>
    <row r="76" spans="1:16">
      <c r="A76" t="s">
        <v>884</v>
      </c>
      <c r="B76">
        <v>0</v>
      </c>
      <c r="C76">
        <v>1</v>
      </c>
      <c r="D76">
        <v>50</v>
      </c>
      <c r="E76" s="56">
        <f t="shared" ca="1" si="23"/>
        <v>72</v>
      </c>
      <c r="F76" s="56">
        <f t="shared" ca="1" si="24"/>
        <v>0</v>
      </c>
      <c r="G76" s="56">
        <f t="shared" ca="1" si="25"/>
        <v>0</v>
      </c>
      <c r="H76" s="38">
        <f t="shared" ca="1" si="26"/>
        <v>0</v>
      </c>
      <c r="I76" t="s">
        <v>225</v>
      </c>
      <c r="J76">
        <v>1</v>
      </c>
      <c r="K76">
        <v>1</v>
      </c>
      <c r="L76" s="49">
        <v>1</v>
      </c>
      <c r="M76">
        <v>1</v>
      </c>
      <c r="N76">
        <v>1</v>
      </c>
      <c r="O76">
        <v>1</v>
      </c>
      <c r="P76">
        <v>1</v>
      </c>
    </row>
    <row r="77" spans="1:16">
      <c r="A77" t="s">
        <v>577</v>
      </c>
      <c r="B77">
        <v>0</v>
      </c>
      <c r="C77">
        <v>2</v>
      </c>
      <c r="D77">
        <v>40</v>
      </c>
      <c r="E77" s="56">
        <f t="shared" ca="1" si="23"/>
        <v>48</v>
      </c>
      <c r="F77" s="56">
        <f t="shared" ca="1" si="24"/>
        <v>0</v>
      </c>
      <c r="G77" s="56">
        <f t="shared" ca="1" si="25"/>
        <v>0</v>
      </c>
      <c r="H77" s="38">
        <f t="shared" ca="1" si="26"/>
        <v>0</v>
      </c>
      <c r="I77" t="s">
        <v>354</v>
      </c>
      <c r="J77">
        <v>1</v>
      </c>
      <c r="K77">
        <v>1</v>
      </c>
      <c r="L77" s="49">
        <v>1</v>
      </c>
      <c r="M77">
        <v>1</v>
      </c>
      <c r="N77">
        <v>1</v>
      </c>
      <c r="O77">
        <v>1</v>
      </c>
      <c r="P77">
        <v>1</v>
      </c>
    </row>
    <row r="78" spans="1:16">
      <c r="A78" t="s">
        <v>566</v>
      </c>
      <c r="B78">
        <v>0</v>
      </c>
      <c r="C78">
        <v>1</v>
      </c>
      <c r="D78">
        <v>30</v>
      </c>
      <c r="E78" s="56">
        <f t="shared" ca="1" si="23"/>
        <v>85</v>
      </c>
      <c r="F78" s="56">
        <f t="shared" ca="1" si="24"/>
        <v>0</v>
      </c>
      <c r="G78" s="56">
        <f t="shared" ca="1" si="25"/>
        <v>0</v>
      </c>
      <c r="H78" s="38">
        <f t="shared" ca="1" si="26"/>
        <v>0</v>
      </c>
      <c r="I78" t="s">
        <v>225</v>
      </c>
      <c r="J78">
        <v>1</v>
      </c>
      <c r="K78">
        <v>1</v>
      </c>
      <c r="L78" s="49">
        <v>1</v>
      </c>
      <c r="M78">
        <v>1</v>
      </c>
      <c r="N78">
        <v>1</v>
      </c>
      <c r="O78">
        <v>1</v>
      </c>
      <c r="P78">
        <v>1</v>
      </c>
    </row>
    <row r="79" spans="1:16">
      <c r="A79" t="s">
        <v>999</v>
      </c>
      <c r="B79" s="20">
        <v>0</v>
      </c>
      <c r="C79" s="20">
        <v>1</v>
      </c>
      <c r="D79" s="20">
        <v>30</v>
      </c>
      <c r="E79" s="56">
        <f t="shared" ca="1" si="23"/>
        <v>29</v>
      </c>
      <c r="F79" s="56">
        <f t="shared" ref="F79" ca="1" si="30">IF(E79&gt;D79,0,1)</f>
        <v>1</v>
      </c>
      <c r="G79" s="56">
        <f t="shared" ref="G79" ca="1" si="31">OFFSET(I79, 0, $B$1)*F79</f>
        <v>1</v>
      </c>
      <c r="H79" s="38">
        <f t="shared" ref="H79" ca="1" si="32">(RANDBETWEEN(B79,C79)*G79)</f>
        <v>1</v>
      </c>
      <c r="I79" t="s">
        <v>225</v>
      </c>
      <c r="J79">
        <v>1</v>
      </c>
      <c r="K79">
        <v>1</v>
      </c>
      <c r="L79" s="49">
        <v>1</v>
      </c>
      <c r="M79">
        <v>1</v>
      </c>
      <c r="N79">
        <v>1</v>
      </c>
      <c r="O79">
        <v>1</v>
      </c>
      <c r="P79">
        <v>1</v>
      </c>
    </row>
    <row r="80" spans="1:16">
      <c r="H80" s="51"/>
    </row>
    <row r="81" spans="1:16">
      <c r="A81" s="34" t="s">
        <v>628</v>
      </c>
      <c r="H81" s="51"/>
    </row>
    <row r="82" spans="1:16">
      <c r="H82" s="51"/>
    </row>
    <row r="83" spans="1:16">
      <c r="A83" t="s">
        <v>906</v>
      </c>
      <c r="B83">
        <v>1</v>
      </c>
      <c r="C83">
        <v>1</v>
      </c>
      <c r="D83">
        <v>25</v>
      </c>
      <c r="E83" s="56">
        <f t="shared" ref="E83:E93" ca="1" si="33">RANDBETWEEN(1,100)</f>
        <v>62</v>
      </c>
      <c r="F83" s="56">
        <f t="shared" ref="F83:F89" ca="1" si="34">IF(E83&gt;D83,0,1)</f>
        <v>0</v>
      </c>
      <c r="G83" s="56">
        <f t="shared" ref="G83:G89" ca="1" si="35">OFFSET(I83, 0, $B$1)*F83</f>
        <v>0</v>
      </c>
      <c r="H83" s="38">
        <f ca="1">(RANDBETWEEN(B83,C83)*G83)</f>
        <v>0</v>
      </c>
      <c r="I83" t="s">
        <v>225</v>
      </c>
      <c r="J83">
        <v>1</v>
      </c>
      <c r="K83">
        <v>1</v>
      </c>
      <c r="L83" s="49">
        <v>1</v>
      </c>
      <c r="M83">
        <v>1</v>
      </c>
      <c r="N83">
        <v>1</v>
      </c>
      <c r="O83">
        <v>1</v>
      </c>
      <c r="P83">
        <v>1</v>
      </c>
    </row>
    <row r="84" spans="1:16">
      <c r="A84" t="s">
        <v>907</v>
      </c>
      <c r="B84">
        <v>1</v>
      </c>
      <c r="C84">
        <v>1</v>
      </c>
      <c r="D84">
        <v>25</v>
      </c>
      <c r="E84" s="56">
        <f t="shared" ca="1" si="33"/>
        <v>85</v>
      </c>
      <c r="F84" s="56">
        <f t="shared" ref="F84" ca="1" si="36">IF(E84&gt;D84,0,1)</f>
        <v>0</v>
      </c>
      <c r="G84" s="56">
        <f t="shared" ref="G84" ca="1" si="37">OFFSET(I84, 0, $B$1)*F84</f>
        <v>0</v>
      </c>
      <c r="H84" s="38">
        <f ca="1">(RANDBETWEEN(B84,C84)*G84)</f>
        <v>0</v>
      </c>
      <c r="J84">
        <v>1</v>
      </c>
      <c r="K84">
        <v>1</v>
      </c>
      <c r="L84" s="49">
        <v>1</v>
      </c>
      <c r="M84">
        <v>1</v>
      </c>
      <c r="N84">
        <v>1</v>
      </c>
      <c r="O84">
        <v>1</v>
      </c>
      <c r="P84">
        <v>1</v>
      </c>
    </row>
    <row r="85" spans="1:16">
      <c r="A85" t="s">
        <v>909</v>
      </c>
      <c r="B85" s="19">
        <v>0</v>
      </c>
      <c r="C85" s="19">
        <v>0</v>
      </c>
      <c r="D85" s="19">
        <v>0</v>
      </c>
      <c r="E85" s="56">
        <f t="shared" ca="1" si="33"/>
        <v>52</v>
      </c>
      <c r="F85" s="56">
        <f t="shared" ref="F85" ca="1" si="38">IF(E85&gt;D85,0,1)</f>
        <v>0</v>
      </c>
      <c r="G85" s="56">
        <f t="shared" ref="G85" ca="1" si="39">OFFSET(I85, 0, $B$1)*F85</f>
        <v>0</v>
      </c>
      <c r="H85" s="38">
        <f ca="1">(RANDBETWEEN(B85,C85)*G85)</f>
        <v>0</v>
      </c>
      <c r="I85" t="s">
        <v>225</v>
      </c>
      <c r="J85">
        <v>1</v>
      </c>
      <c r="K85">
        <v>1</v>
      </c>
      <c r="L85" s="49">
        <v>1</v>
      </c>
      <c r="M85">
        <v>1</v>
      </c>
      <c r="N85">
        <v>1</v>
      </c>
      <c r="O85">
        <v>1</v>
      </c>
      <c r="P85">
        <v>1</v>
      </c>
    </row>
    <row r="86" spans="1:16">
      <c r="A86" t="s">
        <v>1000</v>
      </c>
      <c r="B86" s="19">
        <v>0</v>
      </c>
      <c r="C86" s="19">
        <v>0</v>
      </c>
      <c r="D86" s="19">
        <v>0</v>
      </c>
      <c r="E86" s="56">
        <f t="shared" ca="1" si="33"/>
        <v>52</v>
      </c>
      <c r="F86" s="56">
        <f t="shared" ref="F86" ca="1" si="40">IF(E86&gt;D86,0,1)</f>
        <v>0</v>
      </c>
      <c r="G86" s="56">
        <f t="shared" ref="G86" ca="1" si="41">OFFSET(I86, 0, $B$1)*F86</f>
        <v>0</v>
      </c>
      <c r="H86" s="38">
        <f ca="1">(RANDBETWEEN(B86,C86)*G86)</f>
        <v>0</v>
      </c>
      <c r="I86" t="s">
        <v>225</v>
      </c>
      <c r="J86">
        <v>1</v>
      </c>
      <c r="K86">
        <v>1</v>
      </c>
      <c r="L86" s="49">
        <v>1</v>
      </c>
      <c r="M86">
        <v>1</v>
      </c>
      <c r="N86">
        <v>1</v>
      </c>
      <c r="O86">
        <v>1</v>
      </c>
      <c r="P86">
        <v>1</v>
      </c>
    </row>
    <row r="87" spans="1:16">
      <c r="A87" t="s">
        <v>629</v>
      </c>
      <c r="B87">
        <v>1</v>
      </c>
      <c r="C87">
        <v>2</v>
      </c>
      <c r="D87">
        <v>25</v>
      </c>
      <c r="E87" s="56">
        <f t="shared" ca="1" si="33"/>
        <v>90</v>
      </c>
      <c r="F87" s="56">
        <f t="shared" ca="1" si="34"/>
        <v>0</v>
      </c>
      <c r="G87" s="56">
        <f t="shared" ca="1" si="35"/>
        <v>0</v>
      </c>
      <c r="H87" s="38">
        <f t="shared" ref="H87:H89" ca="1" si="42">(RANDBETWEEN(B87,C87)*G87)</f>
        <v>0</v>
      </c>
      <c r="I87" t="s">
        <v>225</v>
      </c>
      <c r="J87">
        <v>1</v>
      </c>
      <c r="K87">
        <v>1</v>
      </c>
      <c r="L87" s="49">
        <v>1</v>
      </c>
      <c r="M87">
        <v>1</v>
      </c>
      <c r="N87">
        <v>1</v>
      </c>
      <c r="O87">
        <v>1</v>
      </c>
      <c r="P87">
        <v>1</v>
      </c>
    </row>
    <row r="88" spans="1:16">
      <c r="A88" t="s">
        <v>908</v>
      </c>
      <c r="B88">
        <v>1</v>
      </c>
      <c r="C88">
        <v>1</v>
      </c>
      <c r="D88">
        <v>25</v>
      </c>
      <c r="E88" s="56">
        <f t="shared" ca="1" si="33"/>
        <v>37</v>
      </c>
      <c r="F88" s="56">
        <f t="shared" ref="F88" ca="1" si="43">IF(E88&gt;D88,0,1)</f>
        <v>0</v>
      </c>
      <c r="G88" s="56">
        <f t="shared" ref="G88" ca="1" si="44">OFFSET(I88, 0, $B$1)*F88</f>
        <v>0</v>
      </c>
      <c r="H88" s="38">
        <f t="shared" ref="H88" ca="1" si="45">(RANDBETWEEN(B88,C88)*G88)</f>
        <v>0</v>
      </c>
      <c r="I88" t="s">
        <v>355</v>
      </c>
      <c r="J88">
        <v>1</v>
      </c>
      <c r="K88">
        <v>1</v>
      </c>
      <c r="L88" s="49">
        <v>1</v>
      </c>
      <c r="M88">
        <v>1</v>
      </c>
      <c r="N88">
        <v>1</v>
      </c>
      <c r="O88">
        <v>1</v>
      </c>
      <c r="P88">
        <v>1</v>
      </c>
    </row>
    <row r="89" spans="1:16">
      <c r="A89" t="s">
        <v>824</v>
      </c>
      <c r="B89" s="19">
        <v>1</v>
      </c>
      <c r="C89" s="19">
        <v>1</v>
      </c>
      <c r="D89" s="19">
        <v>10</v>
      </c>
      <c r="E89" s="56">
        <f t="shared" ca="1" si="33"/>
        <v>68</v>
      </c>
      <c r="F89" s="56">
        <f t="shared" ca="1" si="34"/>
        <v>0</v>
      </c>
      <c r="G89" s="56">
        <f t="shared" ca="1" si="35"/>
        <v>0</v>
      </c>
      <c r="H89" s="38">
        <f t="shared" ca="1" si="42"/>
        <v>0</v>
      </c>
      <c r="I89" t="s">
        <v>825</v>
      </c>
      <c r="J89">
        <v>1</v>
      </c>
      <c r="K89">
        <v>1</v>
      </c>
      <c r="L89" s="49">
        <v>1</v>
      </c>
      <c r="M89">
        <v>1</v>
      </c>
      <c r="N89">
        <v>1</v>
      </c>
      <c r="O89">
        <v>1</v>
      </c>
      <c r="P89">
        <v>1</v>
      </c>
    </row>
    <row r="90" spans="1:16">
      <c r="E90" s="59"/>
      <c r="F90" s="59"/>
      <c r="G90" s="59"/>
      <c r="H90" s="51"/>
    </row>
    <row r="91" spans="1:16">
      <c r="A91" s="34" t="s">
        <v>910</v>
      </c>
      <c r="E91" s="59"/>
      <c r="F91" s="59"/>
      <c r="G91" s="59"/>
      <c r="H91" s="51"/>
    </row>
    <row r="92" spans="1:16">
      <c r="E92" s="59"/>
      <c r="F92" s="59"/>
      <c r="G92" s="59"/>
      <c r="H92" s="51"/>
    </row>
    <row r="93" spans="1:16">
      <c r="A93" t="s">
        <v>461</v>
      </c>
      <c r="B93">
        <v>0</v>
      </c>
      <c r="C93">
        <v>2</v>
      </c>
      <c r="D93">
        <v>50</v>
      </c>
      <c r="E93" s="56">
        <f t="shared" ca="1" si="33"/>
        <v>72</v>
      </c>
      <c r="F93" s="56">
        <f t="shared" ref="F93" ca="1" si="46">IF(E93&gt;D93,0,1)</f>
        <v>0</v>
      </c>
      <c r="G93" s="56">
        <f t="shared" ref="G93" ca="1" si="47">OFFSET(I93, 0, $B$1)*F93</f>
        <v>0</v>
      </c>
      <c r="H93" s="38">
        <f t="shared" ref="H93" ca="1" si="48">(RANDBETWEEN(B93,C93)*G93)</f>
        <v>0</v>
      </c>
      <c r="J93">
        <v>1</v>
      </c>
      <c r="K93">
        <v>1</v>
      </c>
      <c r="L93" s="49">
        <v>1</v>
      </c>
      <c r="M93">
        <v>1</v>
      </c>
      <c r="N93">
        <v>1</v>
      </c>
      <c r="O93">
        <v>1</v>
      </c>
      <c r="P93">
        <v>1</v>
      </c>
    </row>
    <row r="94" spans="1:16">
      <c r="D94" s="49"/>
      <c r="E94" s="59"/>
      <c r="F94" s="59"/>
      <c r="G94" s="59"/>
      <c r="H94" s="51"/>
      <c r="I94" s="49"/>
    </row>
    <row r="95" spans="1:16">
      <c r="D95" s="49"/>
      <c r="E95" s="59"/>
      <c r="F95" s="59"/>
      <c r="G95" s="59"/>
      <c r="H95" s="51"/>
      <c r="I95" s="49"/>
    </row>
    <row r="97" spans="1:8">
      <c r="A97" t="s">
        <v>911</v>
      </c>
      <c r="H97" s="55">
        <f ca="1">SUM(H5:H96)</f>
        <v>45</v>
      </c>
    </row>
  </sheetData>
  <mergeCells count="1">
    <mergeCell ref="J3:P3"/>
  </mergeCells>
  <conditionalFormatting sqref="H1:H2 H4:H1048576">
    <cfRule type="cellIs" dxfId="7" priority="9" operator="greaterThan">
      <formula>0</formula>
    </cfRule>
  </conditionalFormatting>
  <conditionalFormatting sqref="J1:J1048576">
    <cfRule type="expression" dxfId="6" priority="7">
      <formula>$B$1=1</formula>
    </cfRule>
  </conditionalFormatting>
  <conditionalFormatting sqref="K1:K1048576">
    <cfRule type="expression" dxfId="5" priority="6">
      <formula>$B$1=2</formula>
    </cfRule>
  </conditionalFormatting>
  <conditionalFormatting sqref="L1:L1048576">
    <cfRule type="expression" dxfId="4" priority="5">
      <formula>$B$1=3</formula>
    </cfRule>
  </conditionalFormatting>
  <conditionalFormatting sqref="M1:M1048576">
    <cfRule type="expression" dxfId="3" priority="4">
      <formula>$B$1=4</formula>
    </cfRule>
  </conditionalFormatting>
  <conditionalFormatting sqref="N1:N1048576">
    <cfRule type="expression" dxfId="2" priority="3">
      <formula>$B$1=5</formula>
    </cfRule>
  </conditionalFormatting>
  <conditionalFormatting sqref="O1:O1048576">
    <cfRule type="expression" dxfId="1" priority="2">
      <formula>$B$1=6</formula>
    </cfRule>
  </conditionalFormatting>
  <conditionalFormatting sqref="P1:P1048576">
    <cfRule type="expression" dxfId="0" priority="1">
      <formula>$B$1=7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Waybills</vt:lpstr>
      <vt:lpstr>Data</vt:lpstr>
      <vt:lpstr>BlockCodes</vt:lpstr>
      <vt:lpstr>Waybill Pulls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cp:lastPrinted>2017-12-22T21:19:40Z</cp:lastPrinted>
  <dcterms:created xsi:type="dcterms:W3CDTF">2015-09-01T19:06:20Z</dcterms:created>
  <dcterms:modified xsi:type="dcterms:W3CDTF">2018-01-06T00:40:00Z</dcterms:modified>
</cp:coreProperties>
</file>